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3585" windowWidth="14805" windowHeight="4530" tabRatio="852" firstSheet="15" activeTab="22"/>
  </bookViews>
  <sheets>
    <sheet name="прил.1 (админ.)" sheetId="1" r:id="rId1"/>
    <sheet name="прил. 2 (поступл.21)" sheetId="5" r:id="rId2"/>
    <sheet name="прил. 3 (поступл. 22-23)" sheetId="15" r:id="rId3"/>
    <sheet name="прил.4 (пост.безв.21)" sheetId="2" r:id="rId4"/>
    <sheet name="прил.5 (пост.безв.22-23)" sheetId="16" r:id="rId5"/>
    <sheet name="прил.6 (безв.от пос.21) (2)" sheetId="27" r:id="rId6"/>
    <sheet name="прил.7 (норм.доходов)" sheetId="26" r:id="rId7"/>
    <sheet name="прил 8 (Рз,ПР 21)" sheetId="6" r:id="rId8"/>
    <sheet name="прил 9 (Рз,ПР 22-23)" sheetId="17" r:id="rId9"/>
    <sheet name="прил 10 (ЦС,ВР 21)" sheetId="7" r:id="rId10"/>
    <sheet name="прил 11 (ЦС,ВР 22-23)" sheetId="18" r:id="rId11"/>
    <sheet name="прил12(ведом 21)" sheetId="3" r:id="rId12"/>
    <sheet name="прил13(ведом 22-23)" sheetId="19" r:id="rId13"/>
    <sheet name="прил.14 (Источники 21)" sheetId="8" r:id="rId14"/>
    <sheet name="прил.15 (Источники 22-23)" sheetId="20" r:id="rId15"/>
    <sheet name="прил.16(безв.всего 21)" sheetId="9" r:id="rId16"/>
    <sheet name="прил.17(безв.всего 22-23)" sheetId="21" r:id="rId17"/>
    <sheet name="прил.18(дотация 21)" sheetId="11" r:id="rId18"/>
    <sheet name="прил.19(дотация 22-23)" sheetId="22" r:id="rId19"/>
    <sheet name="прил.20мун.внутр.заим.21-23)" sheetId="12" r:id="rId20"/>
    <sheet name="прил.21(гар. 21-23)" sheetId="13" r:id="rId21"/>
    <sheet name="прил.22мун.внеш.заим.21-23" sheetId="28" r:id="rId22"/>
    <sheet name="прил.23(гар.в ин.в.21-23)" sheetId="29" r:id="rId23"/>
  </sheets>
  <definedNames>
    <definedName name="_xlnm._FilterDatabase" localSheetId="9" hidden="1">'прил 10 (ЦС,ВР 21)'!$A$4:$J$545</definedName>
    <definedName name="_xlnm._FilterDatabase" localSheetId="10" hidden="1">'прил 11 (ЦС,ВР 22-23)'!$A$4:$L$429</definedName>
    <definedName name="_xlnm._FilterDatabase" localSheetId="7" hidden="1">'прил 8 (Рз,ПР 21)'!$A$12:$AI$54</definedName>
    <definedName name="_xlnm._FilterDatabase" localSheetId="8" hidden="1">'прил 9 (Рз,ПР 22-23)'!$A$13:$AJ$56</definedName>
    <definedName name="_xlnm._FilterDatabase" localSheetId="0" hidden="1">'прил.1 (админ.)'!$A$12:$H$216</definedName>
    <definedName name="_xlnm._FilterDatabase" localSheetId="3" hidden="1">'прил.4 (пост.безв.21)'!$A$4:$D$76</definedName>
    <definedName name="_xlnm._FilterDatabase" localSheetId="4" hidden="1">'прил.5 (пост.безв.22-23)'!$A$12:$J$74</definedName>
    <definedName name="_xlnm._FilterDatabase" localSheetId="11" hidden="1">'прил12(ведом 21)'!$A$4:$Y$818</definedName>
    <definedName name="_xlnm._FilterDatabase" localSheetId="12" hidden="1">'прил13(ведом 22-23)'!$A$4:$P$621</definedName>
    <definedName name="Z_168CADD9_CFDC_4445_BFE6_DAD4B9423C72_.wvu.FilterData" localSheetId="9" hidden="1">'прил 10 (ЦС,ВР 21)'!#REF!</definedName>
    <definedName name="Z_168CADD9_CFDC_4445_BFE6_DAD4B9423C72_.wvu.FilterData" localSheetId="10" hidden="1">'прил 11 (ЦС,ВР 22-23)'!#REF!</definedName>
    <definedName name="Z_1F25B6A1_C9F7_11D8_A2FD_006098EF8B30_.wvu.FilterData" localSheetId="9" hidden="1">'прил 10 (ЦС,ВР 21)'!#REF!</definedName>
    <definedName name="Z_1F25B6A1_C9F7_11D8_A2FD_006098EF8B30_.wvu.FilterData" localSheetId="10" hidden="1">'прил 11 (ЦС,ВР 22-23)'!#REF!</definedName>
    <definedName name="Z_29D950F2_21ED_48E6_BFC6_87DD89E0125A_.wvu.FilterData" localSheetId="9" hidden="1">'прил 10 (ЦС,ВР 21)'!#REF!</definedName>
    <definedName name="Z_29D950F2_21ED_48E6_BFC6_87DD89E0125A_.wvu.FilterData" localSheetId="10" hidden="1">'прил 11 (ЦС,ВР 22-23)'!#REF!</definedName>
    <definedName name="Z_2CA7FCD5_27A5_4474_9D49_7A7E23BD2FF9_.wvu.FilterData" localSheetId="9" hidden="1">'прил 10 (ЦС,ВР 21)'!#REF!</definedName>
    <definedName name="Z_2CA7FCD5_27A5_4474_9D49_7A7E23BD2FF9_.wvu.FilterData" localSheetId="10" hidden="1">'прил 11 (ЦС,ВР 22-23)'!#REF!</definedName>
    <definedName name="Z_48E28AC5_4E0A_4FBA_AE6D_340F9E8D4B3C_.wvu.FilterData" localSheetId="9" hidden="1">'прил 10 (ЦС,ВР 21)'!#REF!</definedName>
    <definedName name="Z_48E28AC5_4E0A_4FBA_AE6D_340F9E8D4B3C_.wvu.FilterData" localSheetId="10" hidden="1">'прил 11 (ЦС,ВР 22-23)'!#REF!</definedName>
    <definedName name="Z_6398E0F2_3205_40F4_BF0A_C9F4D0DA9A75_.wvu.FilterData" localSheetId="9" hidden="1">'прил 10 (ЦС,ВР 21)'!#REF!</definedName>
    <definedName name="Z_6398E0F2_3205_40F4_BF0A_C9F4D0DA9A75_.wvu.FilterData" localSheetId="10" hidden="1">'прил 11 (ЦС,ВР 22-23)'!#REF!</definedName>
    <definedName name="Z_64DF1B77_0EDD_4B56_A91C_5E003BE599EF_.wvu.FilterData" localSheetId="9" hidden="1">'прил 10 (ЦС,ВР 21)'!#REF!</definedName>
    <definedName name="Z_64DF1B77_0EDD_4B56_A91C_5E003BE599EF_.wvu.FilterData" localSheetId="10" hidden="1">'прил 11 (ЦС,ВР 22-23)'!#REF!</definedName>
    <definedName name="Z_6786C020_BCF1_463A_B3E9_7DE69D46EAB3_.wvu.FilterData" localSheetId="9" hidden="1">'прил 10 (ЦС,ВР 21)'!#REF!</definedName>
    <definedName name="Z_6786C020_BCF1_463A_B3E9_7DE69D46EAB3_.wvu.FilterData" localSheetId="10" hidden="1">'прил 11 (ЦС,ВР 22-23)'!#REF!</definedName>
    <definedName name="Z_8E2E7D81_C767_11D8_A2FD_006098EF8B30_.wvu.FilterData" localSheetId="9" hidden="1">'прил 10 (ЦС,ВР 21)'!#REF!</definedName>
    <definedName name="Z_8E2E7D81_C767_11D8_A2FD_006098EF8B30_.wvu.FilterData" localSheetId="10" hidden="1">'прил 11 (ЦС,ВР 22-23)'!#REF!</definedName>
    <definedName name="Z_97D0CDFA_8A34_4B3C_BA32_D4F0E3218B75_.wvu.FilterData" localSheetId="9" hidden="1">'прил 10 (ЦС,ВР 21)'!#REF!</definedName>
    <definedName name="Z_97D0CDFA_8A34_4B3C_BA32_D4F0E3218B75_.wvu.FilterData" localSheetId="10" hidden="1">'прил 11 (ЦС,ВР 22-23)'!#REF!</definedName>
    <definedName name="Z_B246FE0E_E986_4211_B02A_04E4565C0FED_.wvu.Cols" localSheetId="9" hidden="1">'прил 10 (ЦС,ВР 21)'!$A:$A,'прил 10 (ЦС,ВР 21)'!#REF!</definedName>
    <definedName name="Z_B246FE0E_E986_4211_B02A_04E4565C0FED_.wvu.Cols" localSheetId="10" hidden="1">'прил 11 (ЦС,ВР 22-23)'!$A:$A,'прил 11 (ЦС,ВР 22-23)'!#REF!</definedName>
    <definedName name="Z_B246FE0E_E986_4211_B02A_04E4565C0FED_.wvu.FilterData" localSheetId="9" hidden="1">'прил 10 (ЦС,ВР 21)'!#REF!</definedName>
    <definedName name="Z_B246FE0E_E986_4211_B02A_04E4565C0FED_.wvu.FilterData" localSheetId="10" hidden="1">'прил 11 (ЦС,ВР 22-23)'!#REF!</definedName>
    <definedName name="Z_B246FE0E_E986_4211_B02A_04E4565C0FED_.wvu.PrintArea" localSheetId="9" hidden="1">'прил 10 (ЦС,ВР 21)'!#REF!</definedName>
    <definedName name="Z_B246FE0E_E986_4211_B02A_04E4565C0FED_.wvu.PrintArea" localSheetId="10" hidden="1">'прил 11 (ЦС,ВР 22-23)'!#REF!</definedName>
    <definedName name="Z_B246FE0E_E986_4211_B02A_04E4565C0FED_.wvu.PrintTitles" localSheetId="9" hidden="1">'прил 10 (ЦС,ВР 21)'!#REF!</definedName>
    <definedName name="Z_B246FE0E_E986_4211_B02A_04E4565C0FED_.wvu.PrintTitles" localSheetId="10" hidden="1">'прил 11 (ЦС,ВР 22-23)'!#REF!</definedName>
    <definedName name="Z_C54CDF8B_FA5C_4A02_B343_3FEFD9721392_.wvu.FilterData" localSheetId="9" hidden="1">'прил 10 (ЦС,ВР 21)'!#REF!</definedName>
    <definedName name="Z_C54CDF8B_FA5C_4A02_B343_3FEFD9721392_.wvu.FilterData" localSheetId="10" hidden="1">'прил 11 (ЦС,ВР 22-23)'!#REF!</definedName>
    <definedName name="Z_D7174C22_B878_4584_A218_37ED88979064_.wvu.FilterData" localSheetId="9" hidden="1">'прил 10 (ЦС,ВР 21)'!#REF!</definedName>
    <definedName name="Z_D7174C22_B878_4584_A218_37ED88979064_.wvu.FilterData" localSheetId="10" hidden="1">'прил 11 (ЦС,ВР 22-23)'!#REF!</definedName>
    <definedName name="Z_DD7538FB_7299_4DEE_90D5_2739132A1616_.wvu.FilterData" localSheetId="9" hidden="1">'прил 10 (ЦС,ВР 21)'!#REF!</definedName>
    <definedName name="Z_DD7538FB_7299_4DEE_90D5_2739132A1616_.wvu.FilterData" localSheetId="10" hidden="1">'прил 11 (ЦС,ВР 22-23)'!#REF!</definedName>
    <definedName name="Z_E4B436A8_4A5B_422F_8C0E_9267F763D19D_.wvu.FilterData" localSheetId="9" hidden="1">'прил 10 (ЦС,ВР 21)'!#REF!</definedName>
    <definedName name="Z_E4B436A8_4A5B_422F_8C0E_9267F763D19D_.wvu.FilterData" localSheetId="10" hidden="1">'прил 11 (ЦС,ВР 22-23)'!#REF!</definedName>
    <definedName name="Z_E6BB4361_1D58_11D9_A2FD_006098EF8B30_.wvu.FilterData" localSheetId="9" hidden="1">'прил 10 (ЦС,ВР 21)'!#REF!</definedName>
    <definedName name="Z_E6BB4361_1D58_11D9_A2FD_006098EF8B30_.wvu.FilterData" localSheetId="10" hidden="1">'прил 11 (ЦС,ВР 22-23)'!#REF!</definedName>
    <definedName name="Z_EF486DA3_1DF3_11D9_A2FD_006098EF8B30_.wvu.FilterData" localSheetId="9" hidden="1">'прил 10 (ЦС,ВР 21)'!#REF!</definedName>
    <definedName name="Z_EF486DA3_1DF3_11D9_A2FD_006098EF8B30_.wvu.FilterData" localSheetId="10" hidden="1">'прил 11 (ЦС,ВР 22-23)'!#REF!</definedName>
    <definedName name="Z_EF486DA8_1DF3_11D9_A2FD_006098EF8B30_.wvu.FilterData" localSheetId="9" hidden="1">'прил 10 (ЦС,ВР 21)'!#REF!</definedName>
    <definedName name="Z_EF486DA8_1DF3_11D9_A2FD_006098EF8B30_.wvu.FilterData" localSheetId="10" hidden="1">'прил 11 (ЦС,ВР 22-23)'!#REF!</definedName>
    <definedName name="Z_EF486DAA_1DF3_11D9_A2FD_006098EF8B30_.wvu.FilterData" localSheetId="9" hidden="1">'прил 10 (ЦС,ВР 21)'!#REF!</definedName>
    <definedName name="Z_EF486DAA_1DF3_11D9_A2FD_006098EF8B30_.wvu.FilterData" localSheetId="10" hidden="1">'прил 11 (ЦС,ВР 22-23)'!#REF!</definedName>
    <definedName name="Z_EF486DAC_1DF3_11D9_A2FD_006098EF8B30_.wvu.FilterData" localSheetId="9" hidden="1">'прил 10 (ЦС,ВР 21)'!#REF!</definedName>
    <definedName name="Z_EF486DAC_1DF3_11D9_A2FD_006098EF8B30_.wvu.FilterData" localSheetId="10" hidden="1">'прил 11 (ЦС,ВР 22-23)'!#REF!</definedName>
    <definedName name="Z_EF5A4981_C8E4_11D8_A2FC_006098EF8BA8_.wvu.Cols" localSheetId="9" hidden="1">'прил 10 (ЦС,ВР 21)'!$A:$A,'прил 10 (ЦС,ВР 21)'!#REF!,'прил 10 (ЦС,ВР 21)'!#REF!</definedName>
    <definedName name="Z_EF5A4981_C8E4_11D8_A2FC_006098EF8BA8_.wvu.Cols" localSheetId="10" hidden="1">'прил 11 (ЦС,ВР 22-23)'!$A:$A,'прил 11 (ЦС,ВР 22-23)'!#REF!,'прил 11 (ЦС,ВР 22-23)'!#REF!</definedName>
    <definedName name="Z_EF5A4981_C8E4_11D8_A2FC_006098EF8BA8_.wvu.FilterData" localSheetId="9" hidden="1">'прил 10 (ЦС,ВР 21)'!#REF!</definedName>
    <definedName name="Z_EF5A4981_C8E4_11D8_A2FC_006098EF8BA8_.wvu.FilterData" localSheetId="10" hidden="1">'прил 11 (ЦС,ВР 22-23)'!#REF!</definedName>
    <definedName name="Z_EF5A4981_C8E4_11D8_A2FC_006098EF8BA8_.wvu.PrintArea" localSheetId="9" hidden="1">'прил 10 (ЦС,ВР 21)'!#REF!</definedName>
    <definedName name="Z_EF5A4981_C8E4_11D8_A2FC_006098EF8BA8_.wvu.PrintArea" localSheetId="10" hidden="1">'прил 11 (ЦС,ВР 22-23)'!#REF!</definedName>
    <definedName name="Z_EF5A4981_C8E4_11D8_A2FC_006098EF8BA8_.wvu.PrintTitles" localSheetId="9" hidden="1">'прил 10 (ЦС,ВР 21)'!#REF!</definedName>
    <definedName name="Z_EF5A4981_C8E4_11D8_A2FC_006098EF8BA8_.wvu.PrintTitles" localSheetId="10" hidden="1">'прил 11 (ЦС,ВР 22-23)'!#REF!</definedName>
    <definedName name="_xlnm.Print_Titles" localSheetId="9">'прил 10 (ЦС,ВР 21)'!$12:$12</definedName>
    <definedName name="_xlnm.Print_Titles" localSheetId="10">'прил 11 (ЦС,ВР 22-23)'!$13:$13</definedName>
    <definedName name="_xlnm.Print_Titles" localSheetId="7">'прил 8 (Рз,ПР 21)'!$13:$13</definedName>
    <definedName name="_xlnm.Print_Titles" localSheetId="8">'прил 9 (Рз,ПР 22-23)'!$14:$14</definedName>
    <definedName name="_xlnm.Print_Titles" localSheetId="1">'прил. 2 (поступл.21)'!$12:$12</definedName>
    <definedName name="_xlnm.Print_Titles" localSheetId="2">'прил. 3 (поступл. 22-23)'!$13:$13</definedName>
    <definedName name="_xlnm.Print_Titles" localSheetId="0">'прил.1 (админ.)'!$12:$12</definedName>
    <definedName name="_xlnm.Print_Titles" localSheetId="13">'прил.14 (Источники 21)'!$12:$12</definedName>
    <definedName name="_xlnm.Print_Titles" localSheetId="14">'прил.15 (Источники 22-23)'!$12:$12</definedName>
    <definedName name="_xlnm.Print_Titles" localSheetId="19">'прил.20мун.внутр.заим.21-23)'!#REF!</definedName>
    <definedName name="_xlnm.Print_Titles" localSheetId="3">'прил.4 (пост.безв.21)'!$12:$12</definedName>
    <definedName name="_xlnm.Print_Titles" localSheetId="4">'прил.5 (пост.безв.22-23)'!$12:$12</definedName>
    <definedName name="_xlnm.Print_Titles" localSheetId="5">'прил.6 (безв.от пос.21) (2)'!$12:$12</definedName>
    <definedName name="_xlnm.Print_Titles" localSheetId="6">'прил.7 (норм.доходов)'!$13:$13</definedName>
    <definedName name="_xlnm.Print_Titles" localSheetId="11">'прил12(ведом 21)'!$13:$13</definedName>
    <definedName name="_xlnm.Print_Titles" localSheetId="12">'прил13(ведом 22-23)'!$14:$14</definedName>
    <definedName name="_xlnm.Print_Area" localSheetId="9">'прил 10 (ЦС,ВР 21)'!$A$1:$H$534</definedName>
    <definedName name="_xlnm.Print_Area" localSheetId="10">'прил 11 (ЦС,ВР 22-23)'!$A$1:$I$415</definedName>
    <definedName name="_xlnm.Print_Area" localSheetId="7">'прил 8 (Рз,ПР 21)'!$A$1:$D$60</definedName>
    <definedName name="_xlnm.Print_Area" localSheetId="8">'прил 9 (Рз,ПР 22-23)'!$A$1:$E$61</definedName>
    <definedName name="_xlnm.Print_Area" localSheetId="1">'прил. 2 (поступл.21)'!$A$1:$C$46</definedName>
    <definedName name="_xlnm.Print_Area" localSheetId="2">'прил. 3 (поступл. 22-23)'!$A$1:$D$46</definedName>
    <definedName name="_xlnm.Print_Area" localSheetId="0">'прил.1 (админ.)'!$A$1:$C$223</definedName>
    <definedName name="_xlnm.Print_Area" localSheetId="13">'прил.14 (Источники 21)'!$A$1:$C$31</definedName>
    <definedName name="_xlnm.Print_Area" localSheetId="17">'прил.18(дотация 21)'!$A$1:$F$25</definedName>
    <definedName name="_xlnm.Print_Area" localSheetId="18">'прил.19(дотация 22-23)'!$A$1:$G$26</definedName>
    <definedName name="_xlnm.Print_Area" localSheetId="3">'прил.4 (пост.безв.21)'!$A$1:$C$76</definedName>
    <definedName name="_xlnm.Print_Area" localSheetId="4">'прил.5 (пост.безв.22-23)'!$A$1:$D$79</definedName>
    <definedName name="_xlnm.Print_Area" localSheetId="5">'прил.6 (безв.от пос.21) (2)'!$A$4:$C$56</definedName>
    <definedName name="_xlnm.Print_Area" localSheetId="6">'прил.7 (норм.доходов)'!$A$1:$E$70</definedName>
    <definedName name="_xlnm.Print_Area" localSheetId="11">'прил12(ведом 21)'!$A$1:$M$707</definedName>
    <definedName name="_xlnm.Print_Area" localSheetId="12">'прил13(ведом 22-23)'!$A$1:$N$558</definedName>
  </definedNames>
  <calcPr calcId="124519" iterate="1"/>
</workbook>
</file>

<file path=xl/calcChain.xml><?xml version="1.0" encoding="utf-8"?>
<calcChain xmlns="http://schemas.openxmlformats.org/spreadsheetml/2006/main">
  <c r="M261" i="3"/>
  <c r="M62"/>
  <c r="M546" l="1"/>
  <c r="M544"/>
  <c r="M114" l="1"/>
  <c r="M322" l="1"/>
  <c r="M675" l="1"/>
  <c r="H33" i="7" l="1"/>
  <c r="L385" i="3"/>
  <c r="L384" s="1"/>
  <c r="M384"/>
  <c r="H333" i="7" l="1"/>
  <c r="H332" s="1"/>
  <c r="H331" s="1"/>
  <c r="H330" s="1"/>
  <c r="M307" i="3"/>
  <c r="M306" s="1"/>
  <c r="M305" s="1"/>
  <c r="L308"/>
  <c r="L307" s="1"/>
  <c r="L306" s="1"/>
  <c r="L305" s="1"/>
  <c r="H67" i="7" l="1"/>
  <c r="H66"/>
  <c r="H65" s="1"/>
  <c r="M428" i="3"/>
  <c r="L430"/>
  <c r="L429"/>
  <c r="H32" i="7"/>
  <c r="L428" i="3" l="1"/>
  <c r="M405"/>
  <c r="M377"/>
  <c r="M401"/>
  <c r="C70" i="2" l="1"/>
  <c r="M286" i="3" l="1"/>
  <c r="M611"/>
  <c r="M73"/>
  <c r="H505" i="7" l="1"/>
  <c r="H512"/>
  <c r="H524" l="1"/>
  <c r="H523" s="1"/>
  <c r="H522" s="1"/>
  <c r="H521"/>
  <c r="H520" s="1"/>
  <c r="H519" s="1"/>
  <c r="M221" i="3"/>
  <c r="M220" s="1"/>
  <c r="M224"/>
  <c r="M223" s="1"/>
  <c r="L225"/>
  <c r="L224" s="1"/>
  <c r="L223" s="1"/>
  <c r="L222"/>
  <c r="L221" s="1"/>
  <c r="L220" s="1"/>
  <c r="M56"/>
  <c r="M565"/>
  <c r="M652"/>
  <c r="M113" l="1"/>
  <c r="N347" i="19" l="1"/>
  <c r="M347"/>
  <c r="M458" i="3" l="1"/>
  <c r="D54" i="16"/>
  <c r="N262" i="19"/>
  <c r="C34" i="2"/>
  <c r="M351" i="3"/>
  <c r="M353"/>
  <c r="C48" i="2"/>
  <c r="M71" i="3" l="1"/>
  <c r="M29"/>
  <c r="M648" l="1"/>
  <c r="M659"/>
  <c r="M569"/>
  <c r="M553"/>
  <c r="M521"/>
  <c r="M570"/>
  <c r="M574"/>
  <c r="M552"/>
  <c r="M338"/>
  <c r="M329" l="1"/>
  <c r="M294"/>
  <c r="M285"/>
  <c r="M92"/>
  <c r="M235" l="1"/>
  <c r="M245"/>
  <c r="B15" i="9"/>
  <c r="M470" i="3"/>
  <c r="K470"/>
  <c r="K459"/>
  <c r="M459"/>
  <c r="M688" l="1"/>
  <c r="L689"/>
  <c r="L688" l="1"/>
  <c r="H354" i="7"/>
  <c r="H353" s="1"/>
  <c r="M687" i="3"/>
  <c r="L687" s="1"/>
  <c r="C25" i="2"/>
  <c r="H504" i="7" l="1"/>
  <c r="H503" s="1"/>
  <c r="H502"/>
  <c r="H501" s="1"/>
  <c r="H500" s="1"/>
  <c r="M184" i="3"/>
  <c r="L184" s="1"/>
  <c r="M189"/>
  <c r="L189" s="1"/>
  <c r="L185"/>
  <c r="L190"/>
  <c r="M188"/>
  <c r="M183"/>
  <c r="M658" l="1"/>
  <c r="M650"/>
  <c r="M649"/>
  <c r="M400"/>
  <c r="H482" i="7" l="1"/>
  <c r="H481" s="1"/>
  <c r="H480" s="1"/>
  <c r="L85" i="3"/>
  <c r="L84" s="1"/>
  <c r="L83" s="1"/>
  <c r="M84"/>
  <c r="M83" s="1"/>
  <c r="M27"/>
  <c r="H518" i="7" l="1"/>
  <c r="H517" s="1"/>
  <c r="H516" s="1"/>
  <c r="H515"/>
  <c r="H514" s="1"/>
  <c r="H513" s="1"/>
  <c r="K552" i="19"/>
  <c r="K549"/>
  <c r="K546"/>
  <c r="K543"/>
  <c r="K536"/>
  <c r="K533"/>
  <c r="K530"/>
  <c r="K527"/>
  <c r="K520"/>
  <c r="K519" s="1"/>
  <c r="K518" s="1"/>
  <c r="K517" s="1"/>
  <c r="K516" s="1"/>
  <c r="K515" s="1"/>
  <c r="K509"/>
  <c r="K508" s="1"/>
  <c r="K507" s="1"/>
  <c r="K506" s="1"/>
  <c r="K505" s="1"/>
  <c r="K501"/>
  <c r="K500" s="1"/>
  <c r="K499" s="1"/>
  <c r="K498" s="1"/>
  <c r="K497" s="1"/>
  <c r="K494"/>
  <c r="K493" s="1"/>
  <c r="K491"/>
  <c r="K490" s="1"/>
  <c r="K488"/>
  <c r="K487" s="1"/>
  <c r="K477"/>
  <c r="K476" s="1"/>
  <c r="K475" s="1"/>
  <c r="K474" s="1"/>
  <c r="K473" s="1"/>
  <c r="K471"/>
  <c r="K470" s="1"/>
  <c r="K469" s="1"/>
  <c r="K468" s="1"/>
  <c r="K467" s="1"/>
  <c r="K465"/>
  <c r="K463"/>
  <c r="K459"/>
  <c r="K455"/>
  <c r="K454" s="1"/>
  <c r="K453" s="1"/>
  <c r="K448"/>
  <c r="K447" s="1"/>
  <c r="K446" s="1"/>
  <c r="K445" s="1"/>
  <c r="K444" s="1"/>
  <c r="K443" s="1"/>
  <c r="K437"/>
  <c r="K433"/>
  <c r="K427"/>
  <c r="K425"/>
  <c r="K419"/>
  <c r="K418" s="1"/>
  <c r="K416"/>
  <c r="K414"/>
  <c r="K413" s="1"/>
  <c r="K408"/>
  <c r="K407"/>
  <c r="K406" s="1"/>
  <c r="K405" s="1"/>
  <c r="K404" s="1"/>
  <c r="K403" s="1"/>
  <c r="K401"/>
  <c r="K399"/>
  <c r="K392"/>
  <c r="K391" s="1"/>
  <c r="K390" s="1"/>
  <c r="K389" s="1"/>
  <c r="K388" s="1"/>
  <c r="K383"/>
  <c r="K382" s="1"/>
  <c r="K381" s="1"/>
  <c r="K380" s="1"/>
  <c r="K379" s="1"/>
  <c r="K378" s="1"/>
  <c r="K375"/>
  <c r="K370"/>
  <c r="K366"/>
  <c r="K360"/>
  <c r="K359" s="1"/>
  <c r="K358" s="1"/>
  <c r="K357" s="1"/>
  <c r="K356" s="1"/>
  <c r="K354"/>
  <c r="K353" s="1"/>
  <c r="K352" s="1"/>
  <c r="K351" s="1"/>
  <c r="K349"/>
  <c r="K347"/>
  <c r="K345"/>
  <c r="K344"/>
  <c r="K343"/>
  <c r="K342"/>
  <c r="K341"/>
  <c r="K333"/>
  <c r="K332" s="1"/>
  <c r="K331" s="1"/>
  <c r="K330" s="1"/>
  <c r="K327"/>
  <c r="K326" s="1"/>
  <c r="K325" s="1"/>
  <c r="K322"/>
  <c r="K319"/>
  <c r="K315"/>
  <c r="K311"/>
  <c r="K308"/>
  <c r="K305"/>
  <c r="K303"/>
  <c r="K300" s="1"/>
  <c r="K294"/>
  <c r="K293" s="1"/>
  <c r="K292" s="1"/>
  <c r="K291" s="1"/>
  <c r="K289"/>
  <c r="K287"/>
  <c r="K285"/>
  <c r="K278"/>
  <c r="K277" s="1"/>
  <c r="K275"/>
  <c r="K274" s="1"/>
  <c r="K272"/>
  <c r="K271" s="1"/>
  <c r="K263"/>
  <c r="K261"/>
  <c r="K254"/>
  <c r="K253" s="1"/>
  <c r="K252" s="1"/>
  <c r="K251" s="1"/>
  <c r="K250" s="1"/>
  <c r="K249" s="1"/>
  <c r="K245"/>
  <c r="K244" s="1"/>
  <c r="K243" s="1"/>
  <c r="K242" s="1"/>
  <c r="K240"/>
  <c r="K239" s="1"/>
  <c r="K237"/>
  <c r="K236" s="1"/>
  <c r="K234"/>
  <c r="K230"/>
  <c r="K226"/>
  <c r="K222"/>
  <c r="K220"/>
  <c r="K209"/>
  <c r="K208" s="1"/>
  <c r="K207" s="1"/>
  <c r="K206" s="1"/>
  <c r="K205" s="1"/>
  <c r="K204" s="1"/>
  <c r="K201"/>
  <c r="K200" s="1"/>
  <c r="K199" s="1"/>
  <c r="K198" s="1"/>
  <c r="K197" s="1"/>
  <c r="K196" s="1"/>
  <c r="K194"/>
  <c r="K193" s="1"/>
  <c r="K191"/>
  <c r="K190" s="1"/>
  <c r="K183"/>
  <c r="K182" s="1"/>
  <c r="K181" s="1"/>
  <c r="K180" s="1"/>
  <c r="K179" s="1"/>
  <c r="K174"/>
  <c r="K173" s="1"/>
  <c r="K172" s="1"/>
  <c r="K171" s="1"/>
  <c r="K170" s="1"/>
  <c r="K169" s="1"/>
  <c r="K167"/>
  <c r="K166" s="1"/>
  <c r="K165" s="1"/>
  <c r="K164" s="1"/>
  <c r="K163" s="1"/>
  <c r="K161"/>
  <c r="K160" s="1"/>
  <c r="K159" s="1"/>
  <c r="K158" s="1"/>
  <c r="K157" s="1"/>
  <c r="K154"/>
  <c r="K152"/>
  <c r="K144"/>
  <c r="K143" s="1"/>
  <c r="K142" s="1"/>
  <c r="K141" s="1"/>
  <c r="K139"/>
  <c r="K137"/>
  <c r="K132"/>
  <c r="K131" s="1"/>
  <c r="K130" s="1"/>
  <c r="K128"/>
  <c r="K127" s="1"/>
  <c r="K126" s="1"/>
  <c r="K122"/>
  <c r="K121" s="1"/>
  <c r="K120" s="1"/>
  <c r="K119" s="1"/>
  <c r="K118" s="1"/>
  <c r="K116"/>
  <c r="K115" s="1"/>
  <c r="K113"/>
  <c r="K112" s="1"/>
  <c r="K104"/>
  <c r="K103" s="1"/>
  <c r="K102" s="1"/>
  <c r="K100"/>
  <c r="K99" s="1"/>
  <c r="K97"/>
  <c r="K96" s="1"/>
  <c r="K91"/>
  <c r="K89"/>
  <c r="K87"/>
  <c r="K80"/>
  <c r="K79" s="1"/>
  <c r="K77"/>
  <c r="K76" s="1"/>
  <c r="K74"/>
  <c r="K72"/>
  <c r="K68"/>
  <c r="K67" s="1"/>
  <c r="K63"/>
  <c r="K62" s="1"/>
  <c r="K61" s="1"/>
  <c r="K60" s="1"/>
  <c r="K57"/>
  <c r="K56" s="1"/>
  <c r="K55" s="1"/>
  <c r="K54" s="1"/>
  <c r="K52"/>
  <c r="K51" s="1"/>
  <c r="K50" s="1"/>
  <c r="K49" s="1"/>
  <c r="K48" s="1"/>
  <c r="K46"/>
  <c r="K45" s="1"/>
  <c r="K43"/>
  <c r="K40"/>
  <c r="K37"/>
  <c r="K35"/>
  <c r="K33"/>
  <c r="K29"/>
  <c r="K23"/>
  <c r="K22" s="1"/>
  <c r="K21" s="1"/>
  <c r="K20" s="1"/>
  <c r="K19" s="1"/>
  <c r="K218" i="3"/>
  <c r="K217" s="1"/>
  <c r="M218"/>
  <c r="M217" s="1"/>
  <c r="L219"/>
  <c r="L218" s="1"/>
  <c r="L217" s="1"/>
  <c r="K215"/>
  <c r="K214" s="1"/>
  <c r="M215"/>
  <c r="M214" s="1"/>
  <c r="L216"/>
  <c r="L215" s="1"/>
  <c r="L214" s="1"/>
  <c r="K56"/>
  <c r="K702"/>
  <c r="K700" s="1"/>
  <c r="K699"/>
  <c r="K697" s="1"/>
  <c r="K694"/>
  <c r="K686"/>
  <c r="K684" s="1"/>
  <c r="K683"/>
  <c r="K681" s="1"/>
  <c r="K678"/>
  <c r="K675"/>
  <c r="K668"/>
  <c r="K667" s="1"/>
  <c r="K666" s="1"/>
  <c r="K665" s="1"/>
  <c r="K664" s="1"/>
  <c r="K663" s="1"/>
  <c r="K657"/>
  <c r="K656" s="1"/>
  <c r="K655" s="1"/>
  <c r="K654" s="1"/>
  <c r="K653" s="1"/>
  <c r="K651"/>
  <c r="K647"/>
  <c r="K640"/>
  <c r="K639" s="1"/>
  <c r="K637"/>
  <c r="K636" s="1"/>
  <c r="K634"/>
  <c r="K633" s="1"/>
  <c r="K623"/>
  <c r="K622" s="1"/>
  <c r="K621" s="1"/>
  <c r="K620" s="1"/>
  <c r="K619" s="1"/>
  <c r="K616"/>
  <c r="K615" s="1"/>
  <c r="K614" s="1"/>
  <c r="K613" s="1"/>
  <c r="K612" s="1"/>
  <c r="K611"/>
  <c r="K610" s="1"/>
  <c r="K609" s="1"/>
  <c r="K608" s="1"/>
  <c r="K606"/>
  <c r="K604"/>
  <c r="K602"/>
  <c r="K600"/>
  <c r="K598"/>
  <c r="K597"/>
  <c r="K592"/>
  <c r="K591" s="1"/>
  <c r="K590" s="1"/>
  <c r="K585"/>
  <c r="K584" s="1"/>
  <c r="K583" s="1"/>
  <c r="K582" s="1"/>
  <c r="K581" s="1"/>
  <c r="K580" s="1"/>
  <c r="K576"/>
  <c r="K574"/>
  <c r="K572" s="1"/>
  <c r="K568"/>
  <c r="K564"/>
  <c r="K563" s="1"/>
  <c r="K562" s="1"/>
  <c r="K558"/>
  <c r="K556"/>
  <c r="K552"/>
  <c r="K550" s="1"/>
  <c r="K549" s="1"/>
  <c r="K547"/>
  <c r="K545"/>
  <c r="K544"/>
  <c r="K543"/>
  <c r="K537"/>
  <c r="K536" s="1"/>
  <c r="K535" s="1"/>
  <c r="K534" s="1"/>
  <c r="K533" s="1"/>
  <c r="K532" s="1"/>
  <c r="K530"/>
  <c r="K529" s="1"/>
  <c r="K528" s="1"/>
  <c r="K527" s="1"/>
  <c r="K526" s="1"/>
  <c r="K524"/>
  <c r="K522"/>
  <c r="K520"/>
  <c r="K514"/>
  <c r="K513" s="1"/>
  <c r="K512" s="1"/>
  <c r="K511" s="1"/>
  <c r="K503"/>
  <c r="K502" s="1"/>
  <c r="K501" s="1"/>
  <c r="K500" s="1"/>
  <c r="K499" s="1"/>
  <c r="K498" s="1"/>
  <c r="K495"/>
  <c r="K493"/>
  <c r="K491"/>
  <c r="K488"/>
  <c r="K486" s="1"/>
  <c r="K485"/>
  <c r="K484"/>
  <c r="K478"/>
  <c r="K477" s="1"/>
  <c r="K476" s="1"/>
  <c r="K472"/>
  <c r="K464"/>
  <c r="K463" s="1"/>
  <c r="K461"/>
  <c r="K457"/>
  <c r="K454"/>
  <c r="K453"/>
  <c r="K452"/>
  <c r="K450"/>
  <c r="K449"/>
  <c r="K448"/>
  <c r="K447"/>
  <c r="K439"/>
  <c r="K438" s="1"/>
  <c r="K437" s="1"/>
  <c r="K435"/>
  <c r="K434" s="1"/>
  <c r="K431"/>
  <c r="K425"/>
  <c r="K421"/>
  <c r="K417"/>
  <c r="K414"/>
  <c r="K413"/>
  <c r="K411"/>
  <c r="K410"/>
  <c r="K406"/>
  <c r="K405"/>
  <c r="K403" s="1"/>
  <c r="K402"/>
  <c r="K401"/>
  <c r="K400"/>
  <c r="K392"/>
  <c r="K391" s="1"/>
  <c r="K390" s="1"/>
  <c r="K389" s="1"/>
  <c r="K387"/>
  <c r="K386" s="1"/>
  <c r="K382"/>
  <c r="K380"/>
  <c r="K378"/>
  <c r="K377"/>
  <c r="K376" s="1"/>
  <c r="K374"/>
  <c r="K367"/>
  <c r="K366" s="1"/>
  <c r="K364"/>
  <c r="K363" s="1"/>
  <c r="K362"/>
  <c r="K361" s="1"/>
  <c r="K360" s="1"/>
  <c r="K352"/>
  <c r="K350"/>
  <c r="K344"/>
  <c r="K343" s="1"/>
  <c r="K342" s="1"/>
  <c r="K341" s="1"/>
  <c r="K340" s="1"/>
  <c r="K339" s="1"/>
  <c r="K337"/>
  <c r="K336" s="1"/>
  <c r="K335" s="1"/>
  <c r="K334" s="1"/>
  <c r="K333" s="1"/>
  <c r="K330"/>
  <c r="K329"/>
  <c r="K328" s="1"/>
  <c r="K321"/>
  <c r="K320" s="1"/>
  <c r="K319" s="1"/>
  <c r="K318" s="1"/>
  <c r="K317" s="1"/>
  <c r="K316" s="1"/>
  <c r="K312"/>
  <c r="K311" s="1"/>
  <c r="K310" s="1"/>
  <c r="K309" s="1"/>
  <c r="K303"/>
  <c r="K302" s="1"/>
  <c r="K300"/>
  <c r="K299" s="1"/>
  <c r="K297"/>
  <c r="K295"/>
  <c r="K293" s="1"/>
  <c r="K289"/>
  <c r="K284"/>
  <c r="K283" s="1"/>
  <c r="K281"/>
  <c r="K280" s="1"/>
  <c r="K272"/>
  <c r="K268"/>
  <c r="K261"/>
  <c r="K260" s="1"/>
  <c r="K259" s="1"/>
  <c r="K258" s="1"/>
  <c r="K257" s="1"/>
  <c r="K256" s="1"/>
  <c r="K254"/>
  <c r="K253" s="1"/>
  <c r="K252" s="1"/>
  <c r="K251" s="1"/>
  <c r="K250" s="1"/>
  <c r="K247"/>
  <c r="K246" s="1"/>
  <c r="K244"/>
  <c r="K243" s="1"/>
  <c r="K238"/>
  <c r="K237" s="1"/>
  <c r="K235"/>
  <c r="K234"/>
  <c r="K212"/>
  <c r="K211" s="1"/>
  <c r="K209"/>
  <c r="K208" s="1"/>
  <c r="K202"/>
  <c r="K201" s="1"/>
  <c r="K200" s="1"/>
  <c r="K199" s="1"/>
  <c r="K198" s="1"/>
  <c r="K197" s="1"/>
  <c r="K195"/>
  <c r="K194" s="1"/>
  <c r="K193" s="1"/>
  <c r="K192" s="1"/>
  <c r="K191" s="1"/>
  <c r="K187"/>
  <c r="K186" s="1"/>
  <c r="K182"/>
  <c r="K181" s="1"/>
  <c r="K176"/>
  <c r="K175" s="1"/>
  <c r="K174" s="1"/>
  <c r="K173" s="1"/>
  <c r="K172" s="1"/>
  <c r="K169"/>
  <c r="K168" s="1"/>
  <c r="K167" s="1"/>
  <c r="K166" s="1"/>
  <c r="K165" s="1"/>
  <c r="K164" s="1"/>
  <c r="K162"/>
  <c r="K159"/>
  <c r="K154"/>
  <c r="K152"/>
  <c r="K147"/>
  <c r="K146" s="1"/>
  <c r="K145" s="1"/>
  <c r="K143"/>
  <c r="K142" s="1"/>
  <c r="K141" s="1"/>
  <c r="K138"/>
  <c r="K137" s="1"/>
  <c r="K136" s="1"/>
  <c r="K135" s="1"/>
  <c r="K134" s="1"/>
  <c r="K133" s="1"/>
  <c r="K131"/>
  <c r="K130" s="1"/>
  <c r="K128"/>
  <c r="K127" s="1"/>
  <c r="K121"/>
  <c r="K120" s="1"/>
  <c r="K119" s="1"/>
  <c r="K117"/>
  <c r="K116" s="1"/>
  <c r="K114"/>
  <c r="K112" s="1"/>
  <c r="K111" s="1"/>
  <c r="K108"/>
  <c r="K107" s="1"/>
  <c r="K105"/>
  <c r="K103"/>
  <c r="K97"/>
  <c r="K95"/>
  <c r="K93"/>
  <c r="K91"/>
  <c r="K81"/>
  <c r="K80" s="1"/>
  <c r="K78"/>
  <c r="K77" s="1"/>
  <c r="K75"/>
  <c r="K74" s="1"/>
  <c r="K73"/>
  <c r="K72" s="1"/>
  <c r="K70"/>
  <c r="K66"/>
  <c r="K65" s="1"/>
  <c r="K62"/>
  <c r="K61" s="1"/>
  <c r="K60" s="1"/>
  <c r="K59" s="1"/>
  <c r="K58" s="1"/>
  <c r="K55"/>
  <c r="K54" s="1"/>
  <c r="K53" s="1"/>
  <c r="K52" s="1"/>
  <c r="K50"/>
  <c r="K49" s="1"/>
  <c r="K48" s="1"/>
  <c r="K47" s="1"/>
  <c r="K46" s="1"/>
  <c r="K44"/>
  <c r="K43" s="1"/>
  <c r="K41"/>
  <c r="K38"/>
  <c r="K35"/>
  <c r="K33"/>
  <c r="K31"/>
  <c r="K29"/>
  <c r="K27" s="1"/>
  <c r="K21"/>
  <c r="K20" s="1"/>
  <c r="K19" s="1"/>
  <c r="K18" s="1"/>
  <c r="K17" s="1"/>
  <c r="K542" i="19" l="1"/>
  <c r="K541" s="1"/>
  <c r="K540" s="1"/>
  <c r="K539" s="1"/>
  <c r="K340"/>
  <c r="K339" s="1"/>
  <c r="K338" s="1"/>
  <c r="K337" s="1"/>
  <c r="K336" s="1"/>
  <c r="K526"/>
  <c r="K525" s="1"/>
  <c r="K524" s="1"/>
  <c r="K523" s="1"/>
  <c r="K522" s="1"/>
  <c r="K514" s="1"/>
  <c r="K260"/>
  <c r="K259" s="1"/>
  <c r="K258" s="1"/>
  <c r="K257" s="1"/>
  <c r="K256" s="1"/>
  <c r="K432"/>
  <c r="K431" s="1"/>
  <c r="K430" s="1"/>
  <c r="K429" s="1"/>
  <c r="K424"/>
  <c r="K423" s="1"/>
  <c r="K151"/>
  <c r="K149" s="1"/>
  <c r="K148" s="1"/>
  <c r="K147" s="1"/>
  <c r="K365"/>
  <c r="K364" s="1"/>
  <c r="K363" s="1"/>
  <c r="K362" s="1"/>
  <c r="K95"/>
  <c r="K94" s="1"/>
  <c r="K93" s="1"/>
  <c r="K86"/>
  <c r="K85" s="1"/>
  <c r="K84" s="1"/>
  <c r="K83" s="1"/>
  <c r="K189"/>
  <c r="K188" s="1"/>
  <c r="K187" s="1"/>
  <c r="K178" s="1"/>
  <c r="K177" s="1"/>
  <c r="K28"/>
  <c r="K27" s="1"/>
  <c r="K26" s="1"/>
  <c r="K25" s="1"/>
  <c r="K284"/>
  <c r="K283" s="1"/>
  <c r="K282" s="1"/>
  <c r="K281" s="1"/>
  <c r="K136"/>
  <c r="K135" s="1"/>
  <c r="K134" s="1"/>
  <c r="K219"/>
  <c r="K218" s="1"/>
  <c r="K398"/>
  <c r="K397" s="1"/>
  <c r="K486"/>
  <c r="K485" s="1"/>
  <c r="K484" s="1"/>
  <c r="K483" s="1"/>
  <c r="K71"/>
  <c r="K66" s="1"/>
  <c r="K65" s="1"/>
  <c r="K59" s="1"/>
  <c r="K125"/>
  <c r="K156"/>
  <c r="K225"/>
  <c r="K224" s="1"/>
  <c r="K458"/>
  <c r="K457" s="1"/>
  <c r="K452" s="1"/>
  <c r="K451" s="1"/>
  <c r="K450" s="1"/>
  <c r="K442" s="1"/>
  <c r="K249" i="3"/>
  <c r="K233"/>
  <c r="K232" s="1"/>
  <c r="K231" s="1"/>
  <c r="K230" s="1"/>
  <c r="K229" s="1"/>
  <c r="K409"/>
  <c r="K446"/>
  <c r="K111" i="19"/>
  <c r="K110" s="1"/>
  <c r="K109" s="1"/>
  <c r="K412"/>
  <c r="K411" s="1"/>
  <c r="K410" s="1"/>
  <c r="K299"/>
  <c r="K298" s="1"/>
  <c r="K297" s="1"/>
  <c r="K296" s="1"/>
  <c r="K496"/>
  <c r="K270"/>
  <c r="K269" s="1"/>
  <c r="K268" s="1"/>
  <c r="K267" s="1"/>
  <c r="K158" i="3"/>
  <c r="K157" s="1"/>
  <c r="K156" s="1"/>
  <c r="K332"/>
  <c r="K555"/>
  <c r="K554" s="1"/>
  <c r="K349"/>
  <c r="K348" s="1"/>
  <c r="K347" s="1"/>
  <c r="K346" s="1"/>
  <c r="K345" s="1"/>
  <c r="K207"/>
  <c r="K206" s="1"/>
  <c r="K205" s="1"/>
  <c r="K204" s="1"/>
  <c r="K69"/>
  <c r="K64" s="1"/>
  <c r="K63" s="1"/>
  <c r="K57" s="1"/>
  <c r="K279"/>
  <c r="K359"/>
  <c r="K358" s="1"/>
  <c r="K357" s="1"/>
  <c r="K356" s="1"/>
  <c r="K288"/>
  <c r="K287" s="1"/>
  <c r="K242"/>
  <c r="K241" s="1"/>
  <c r="K240" s="1"/>
  <c r="K519"/>
  <c r="K518" s="1"/>
  <c r="K517" s="1"/>
  <c r="K516" s="1"/>
  <c r="K515" s="1"/>
  <c r="K110"/>
  <c r="K26"/>
  <c r="K25" s="1"/>
  <c r="K24" s="1"/>
  <c r="K23" s="1"/>
  <c r="K469"/>
  <c r="K468" s="1"/>
  <c r="K467" s="1"/>
  <c r="K466" s="1"/>
  <c r="K151"/>
  <c r="K150" s="1"/>
  <c r="K149" s="1"/>
  <c r="K451"/>
  <c r="K567"/>
  <c r="K566" s="1"/>
  <c r="K561" s="1"/>
  <c r="K560" s="1"/>
  <c r="K632"/>
  <c r="K631" s="1"/>
  <c r="K630" s="1"/>
  <c r="K629" s="1"/>
  <c r="K90"/>
  <c r="K89" s="1"/>
  <c r="K88" s="1"/>
  <c r="K87" s="1"/>
  <c r="K126"/>
  <c r="K125" s="1"/>
  <c r="K124" s="1"/>
  <c r="K267"/>
  <c r="K266" s="1"/>
  <c r="K265" s="1"/>
  <c r="K264" s="1"/>
  <c r="K263" s="1"/>
  <c r="K373"/>
  <c r="K372" s="1"/>
  <c r="K371" s="1"/>
  <c r="K370" s="1"/>
  <c r="K482"/>
  <c r="K481" s="1"/>
  <c r="K480" s="1"/>
  <c r="K475" s="1"/>
  <c r="K474" s="1"/>
  <c r="K596"/>
  <c r="K595" s="1"/>
  <c r="K594" s="1"/>
  <c r="K589" s="1"/>
  <c r="K588" s="1"/>
  <c r="K587" s="1"/>
  <c r="K579" s="1"/>
  <c r="K646"/>
  <c r="K645" s="1"/>
  <c r="K644" s="1"/>
  <c r="K643" s="1"/>
  <c r="K642" s="1"/>
  <c r="K693"/>
  <c r="K692" s="1"/>
  <c r="K691" s="1"/>
  <c r="K690" s="1"/>
  <c r="K140"/>
  <c r="K510"/>
  <c r="K509"/>
  <c r="K508" s="1"/>
  <c r="K102"/>
  <c r="K101" s="1"/>
  <c r="K180"/>
  <c r="K179" s="1"/>
  <c r="K178" s="1"/>
  <c r="K171" s="1"/>
  <c r="K327"/>
  <c r="K326" s="1"/>
  <c r="K325" s="1"/>
  <c r="K324" s="1"/>
  <c r="K323" s="1"/>
  <c r="K398"/>
  <c r="K542"/>
  <c r="K541" s="1"/>
  <c r="K674"/>
  <c r="K673" s="1"/>
  <c r="K672" s="1"/>
  <c r="K671" s="1"/>
  <c r="K18" i="19" l="1"/>
  <c r="K409"/>
  <c r="K482"/>
  <c r="K217"/>
  <c r="K216" s="1"/>
  <c r="K215" s="1"/>
  <c r="K214" s="1"/>
  <c r="K82"/>
  <c r="K396"/>
  <c r="K395" s="1"/>
  <c r="K394" s="1"/>
  <c r="K387" s="1"/>
  <c r="K280"/>
  <c r="K266" s="1"/>
  <c r="K124"/>
  <c r="K108" s="1"/>
  <c r="K17" s="1"/>
  <c r="K228" i="3"/>
  <c r="K227" s="1"/>
  <c r="K139"/>
  <c r="K123" s="1"/>
  <c r="K397"/>
  <c r="K396" s="1"/>
  <c r="K395" s="1"/>
  <c r="K394" s="1"/>
  <c r="K445"/>
  <c r="K444" s="1"/>
  <c r="K443" s="1"/>
  <c r="K442" s="1"/>
  <c r="K16"/>
  <c r="K540"/>
  <c r="K539" s="1"/>
  <c r="K538" s="1"/>
  <c r="K507" s="1"/>
  <c r="K278"/>
  <c r="K277" s="1"/>
  <c r="K276" s="1"/>
  <c r="K275" s="1"/>
  <c r="K628"/>
  <c r="K100"/>
  <c r="K99" s="1"/>
  <c r="K86" s="1"/>
  <c r="K670"/>
  <c r="K662" s="1"/>
  <c r="L261"/>
  <c r="L260" s="1"/>
  <c r="L259" s="1"/>
  <c r="L258" s="1"/>
  <c r="L257" s="1"/>
  <c r="L256" s="1"/>
  <c r="H290" i="7"/>
  <c r="M260" i="3"/>
  <c r="M259" s="1"/>
  <c r="M258" s="1"/>
  <c r="M257" s="1"/>
  <c r="M256" s="1"/>
  <c r="K15" i="19" l="1"/>
  <c r="K369" i="3"/>
  <c r="K355" s="1"/>
  <c r="K15"/>
  <c r="M411"/>
  <c r="M413"/>
  <c r="M410"/>
  <c r="K14" l="1"/>
  <c r="M485"/>
  <c r="M484"/>
  <c r="M402"/>
  <c r="M303" i="19" l="1"/>
  <c r="H24" i="7" l="1"/>
  <c r="M367" i="3"/>
  <c r="M312"/>
  <c r="M289"/>
  <c r="M284"/>
  <c r="M268"/>
  <c r="M159"/>
  <c r="M66"/>
  <c r="M50"/>
  <c r="M44"/>
  <c r="M35"/>
  <c r="M21"/>
  <c r="M409" l="1"/>
  <c r="L412" l="1"/>
  <c r="H48" i="7" l="1"/>
  <c r="H111"/>
  <c r="H110" s="1"/>
  <c r="L492" i="3"/>
  <c r="L491" s="1"/>
  <c r="M491"/>
  <c r="L188" l="1"/>
  <c r="L187" s="1"/>
  <c r="L186" s="1"/>
  <c r="L183"/>
  <c r="L182" s="1"/>
  <c r="L181" s="1"/>
  <c r="M187"/>
  <c r="M186" s="1"/>
  <c r="M182"/>
  <c r="M181" s="1"/>
  <c r="L180" l="1"/>
  <c r="L179" s="1"/>
  <c r="L178" s="1"/>
  <c r="M180"/>
  <c r="M179" s="1"/>
  <c r="M178" s="1"/>
  <c r="H499" i="7"/>
  <c r="M747" i="3" l="1"/>
  <c r="D44" i="6" s="1"/>
  <c r="M55" i="3" l="1"/>
  <c r="M54" s="1"/>
  <c r="M61" l="1"/>
  <c r="H511" i="7" l="1"/>
  <c r="H510" s="1"/>
  <c r="L213" i="3"/>
  <c r="M212"/>
  <c r="M211" s="1"/>
  <c r="L212" l="1"/>
  <c r="L211" s="1"/>
  <c r="M138" l="1"/>
  <c r="H381" i="7" l="1"/>
  <c r="H380" s="1"/>
  <c r="H379" s="1"/>
  <c r="H378" s="1"/>
  <c r="N466" i="19" l="1"/>
  <c r="M597" i="3"/>
  <c r="M344"/>
  <c r="H49" i="7" s="1"/>
  <c r="M295" i="3"/>
  <c r="M293" s="1"/>
  <c r="M112"/>
  <c r="L170"/>
  <c r="L169" s="1"/>
  <c r="L168" s="1"/>
  <c r="L167" s="1"/>
  <c r="L166" s="1"/>
  <c r="L165" s="1"/>
  <c r="L164" s="1"/>
  <c r="M169"/>
  <c r="M168" s="1"/>
  <c r="M167" s="1"/>
  <c r="M166" s="1"/>
  <c r="M165" s="1"/>
  <c r="M731" s="1"/>
  <c r="D32" i="6" s="1"/>
  <c r="M164" i="3" l="1"/>
  <c r="L411"/>
  <c r="H509" i="7" l="1"/>
  <c r="H508" s="1"/>
  <c r="H507" s="1"/>
  <c r="H506" s="1"/>
  <c r="M209" i="3"/>
  <c r="M208" s="1"/>
  <c r="M207" s="1"/>
  <c r="H498" i="7" l="1"/>
  <c r="M206" i="3"/>
  <c r="M205" l="1"/>
  <c r="M762" s="1"/>
  <c r="M204" l="1"/>
  <c r="L204" s="1"/>
  <c r="L205"/>
  <c r="L206"/>
  <c r="L208"/>
  <c r="L207" s="1"/>
  <c r="L209"/>
  <c r="L210"/>
  <c r="N341" i="19" l="1"/>
  <c r="M341"/>
  <c r="N342"/>
  <c r="M342"/>
  <c r="N343"/>
  <c r="M343"/>
  <c r="N344"/>
  <c r="M344"/>
  <c r="I63" i="18"/>
  <c r="I62" s="1"/>
  <c r="H63"/>
  <c r="H62" s="1"/>
  <c r="L348" i="19"/>
  <c r="L347" s="1"/>
  <c r="M488" i="3" l="1"/>
  <c r="M448"/>
  <c r="H90" i="7"/>
  <c r="H89" s="1"/>
  <c r="L460" i="3"/>
  <c r="L459" s="1"/>
  <c r="H122" i="7"/>
  <c r="H121" s="1"/>
  <c r="L471" i="3"/>
  <c r="L470" s="1"/>
  <c r="M449"/>
  <c r="M447"/>
  <c r="M450"/>
  <c r="M453"/>
  <c r="M452"/>
  <c r="L553" i="19" l="1"/>
  <c r="L552" s="1"/>
  <c r="L551"/>
  <c r="L550"/>
  <c r="L548"/>
  <c r="L547"/>
  <c r="L545"/>
  <c r="L544"/>
  <c r="L538"/>
  <c r="L537"/>
  <c r="L535"/>
  <c r="L534"/>
  <c r="L532"/>
  <c r="L531"/>
  <c r="L529"/>
  <c r="L528"/>
  <c r="L512"/>
  <c r="L521"/>
  <c r="L520" s="1"/>
  <c r="L519" s="1"/>
  <c r="L518" s="1"/>
  <c r="L517" s="1"/>
  <c r="L516" s="1"/>
  <c r="L515" s="1"/>
  <c r="L511"/>
  <c r="L503"/>
  <c r="L510"/>
  <c r="L504"/>
  <c r="L502"/>
  <c r="L495"/>
  <c r="L494" s="1"/>
  <c r="L493" s="1"/>
  <c r="L492"/>
  <c r="L491" s="1"/>
  <c r="L490" s="1"/>
  <c r="L489"/>
  <c r="L488" s="1"/>
  <c r="L487" s="1"/>
  <c r="L480"/>
  <c r="L479"/>
  <c r="L478"/>
  <c r="L472"/>
  <c r="L471" s="1"/>
  <c r="L470" s="1"/>
  <c r="L469" s="1"/>
  <c r="L468" s="1"/>
  <c r="L467" s="1"/>
  <c r="L466"/>
  <c r="L465" s="1"/>
  <c r="L464"/>
  <c r="L463" s="1"/>
  <c r="L462"/>
  <c r="L461"/>
  <c r="L460"/>
  <c r="L456"/>
  <c r="L455" s="1"/>
  <c r="L454" s="1"/>
  <c r="L453" s="1"/>
  <c r="L449"/>
  <c r="L448" s="1"/>
  <c r="L447" s="1"/>
  <c r="L446" s="1"/>
  <c r="L445" s="1"/>
  <c r="L444" s="1"/>
  <c r="L443" s="1"/>
  <c r="L440"/>
  <c r="L439"/>
  <c r="L438"/>
  <c r="L436"/>
  <c r="L435"/>
  <c r="L434"/>
  <c r="L428"/>
  <c r="L427" s="1"/>
  <c r="L426"/>
  <c r="L425" s="1"/>
  <c r="L422"/>
  <c r="L421"/>
  <c r="L420"/>
  <c r="L417"/>
  <c r="L416" s="1"/>
  <c r="L415"/>
  <c r="L414" s="1"/>
  <c r="L402"/>
  <c r="L401" s="1"/>
  <c r="L400"/>
  <c r="L399" s="1"/>
  <c r="L393"/>
  <c r="L392" s="1"/>
  <c r="L391" s="1"/>
  <c r="L390" s="1"/>
  <c r="L389" s="1"/>
  <c r="L388" s="1"/>
  <c r="L385"/>
  <c r="L376"/>
  <c r="L384"/>
  <c r="L377"/>
  <c r="L374"/>
  <c r="L373"/>
  <c r="L372"/>
  <c r="L371"/>
  <c r="L369"/>
  <c r="L368"/>
  <c r="L367"/>
  <c r="L361"/>
  <c r="L360" s="1"/>
  <c r="L359" s="1"/>
  <c r="L358" s="1"/>
  <c r="L357" s="1"/>
  <c r="L356" s="1"/>
  <c r="L355"/>
  <c r="L354" s="1"/>
  <c r="L353" s="1"/>
  <c r="L352" s="1"/>
  <c r="L351" s="1"/>
  <c r="L350"/>
  <c r="L349" s="1"/>
  <c r="L346"/>
  <c r="L345" s="1"/>
  <c r="L344"/>
  <c r="L343"/>
  <c r="L342"/>
  <c r="L341"/>
  <c r="L335"/>
  <c r="L334"/>
  <c r="L329"/>
  <c r="L328"/>
  <c r="L324"/>
  <c r="L323"/>
  <c r="L321"/>
  <c r="L320"/>
  <c r="L318"/>
  <c r="L317"/>
  <c r="L316"/>
  <c r="L314"/>
  <c r="L313"/>
  <c r="L312"/>
  <c r="L310"/>
  <c r="L309"/>
  <c r="L307"/>
  <c r="L306"/>
  <c r="L304"/>
  <c r="L303"/>
  <c r="L302"/>
  <c r="L301"/>
  <c r="L295"/>
  <c r="L294" s="1"/>
  <c r="L293" s="1"/>
  <c r="L292" s="1"/>
  <c r="L291" s="1"/>
  <c r="L290"/>
  <c r="L289" s="1"/>
  <c r="L288"/>
  <c r="L287" s="1"/>
  <c r="L286"/>
  <c r="L285" s="1"/>
  <c r="L279"/>
  <c r="L278" s="1"/>
  <c r="L277" s="1"/>
  <c r="L276"/>
  <c r="L275" s="1"/>
  <c r="L274" s="1"/>
  <c r="L273"/>
  <c r="L272" s="1"/>
  <c r="L271" s="1"/>
  <c r="L264"/>
  <c r="L263" s="1"/>
  <c r="L262"/>
  <c r="L261" s="1"/>
  <c r="L255"/>
  <c r="L254" s="1"/>
  <c r="L253" s="1"/>
  <c r="L252" s="1"/>
  <c r="L251" s="1"/>
  <c r="L250" s="1"/>
  <c r="L249" s="1"/>
  <c r="L248"/>
  <c r="L247"/>
  <c r="L246"/>
  <c r="L241"/>
  <c r="L240" s="1"/>
  <c r="L239" s="1"/>
  <c r="L238"/>
  <c r="L237" s="1"/>
  <c r="L236" s="1"/>
  <c r="L235"/>
  <c r="L234" s="1"/>
  <c r="L233"/>
  <c r="L232"/>
  <c r="L231"/>
  <c r="L229"/>
  <c r="L228"/>
  <c r="L227"/>
  <c r="L223"/>
  <c r="L222" s="1"/>
  <c r="L221"/>
  <c r="L220" s="1"/>
  <c r="L211"/>
  <c r="L212"/>
  <c r="L210"/>
  <c r="L195"/>
  <c r="L194" s="1"/>
  <c r="L193" s="1"/>
  <c r="L202"/>
  <c r="L201" s="1"/>
  <c r="L200" s="1"/>
  <c r="L199" s="1"/>
  <c r="L198" s="1"/>
  <c r="L197" s="1"/>
  <c r="L196" s="1"/>
  <c r="L192"/>
  <c r="L191" s="1"/>
  <c r="L190" s="1"/>
  <c r="L186"/>
  <c r="L185"/>
  <c r="L184"/>
  <c r="L175"/>
  <c r="L174" s="1"/>
  <c r="L173" s="1"/>
  <c r="L172" s="1"/>
  <c r="L171" s="1"/>
  <c r="L170" s="1"/>
  <c r="L169" s="1"/>
  <c r="L168"/>
  <c r="L167" s="1"/>
  <c r="L166" s="1"/>
  <c r="L165" s="1"/>
  <c r="L164" s="1"/>
  <c r="L163" s="1"/>
  <c r="L162"/>
  <c r="L161" s="1"/>
  <c r="L160" s="1"/>
  <c r="L159" s="1"/>
  <c r="L158" s="1"/>
  <c r="L157" s="1"/>
  <c r="L155"/>
  <c r="L154" s="1"/>
  <c r="L153"/>
  <c r="L152" s="1"/>
  <c r="L146"/>
  <c r="L145"/>
  <c r="L140"/>
  <c r="L139" s="1"/>
  <c r="L138"/>
  <c r="L137" s="1"/>
  <c r="L133"/>
  <c r="L132" s="1"/>
  <c r="L131" s="1"/>
  <c r="L130" s="1"/>
  <c r="L129"/>
  <c r="L128" s="1"/>
  <c r="L127" s="1"/>
  <c r="L126" s="1"/>
  <c r="L123"/>
  <c r="L122" s="1"/>
  <c r="L121" s="1"/>
  <c r="L120" s="1"/>
  <c r="L119" s="1"/>
  <c r="L118" s="1"/>
  <c r="L117"/>
  <c r="L116" s="1"/>
  <c r="L115" s="1"/>
  <c r="L114"/>
  <c r="L113" s="1"/>
  <c r="L112" s="1"/>
  <c r="L107"/>
  <c r="L106"/>
  <c r="L105"/>
  <c r="L101"/>
  <c r="L100" s="1"/>
  <c r="L99" s="1"/>
  <c r="L98"/>
  <c r="L97" s="1"/>
  <c r="L96" s="1"/>
  <c r="L92"/>
  <c r="L91" s="1"/>
  <c r="L90"/>
  <c r="L89" s="1"/>
  <c r="L88"/>
  <c r="L87" s="1"/>
  <c r="L73"/>
  <c r="L72" s="1"/>
  <c r="L81"/>
  <c r="L80" s="1"/>
  <c r="L79" s="1"/>
  <c r="L78"/>
  <c r="L77" s="1"/>
  <c r="L76" s="1"/>
  <c r="L75"/>
  <c r="L74" s="1"/>
  <c r="L70"/>
  <c r="L69"/>
  <c r="L53"/>
  <c r="L52" s="1"/>
  <c r="L51" s="1"/>
  <c r="L50" s="1"/>
  <c r="L49" s="1"/>
  <c r="L48" s="1"/>
  <c r="L64"/>
  <c r="L63" s="1"/>
  <c r="L62" s="1"/>
  <c r="L61" s="1"/>
  <c r="L60" s="1"/>
  <c r="L58"/>
  <c r="L57" s="1"/>
  <c r="L56" s="1"/>
  <c r="L55" s="1"/>
  <c r="L54" s="1"/>
  <c r="L47"/>
  <c r="L46" s="1"/>
  <c r="L45" s="1"/>
  <c r="L44"/>
  <c r="L43" s="1"/>
  <c r="L42"/>
  <c r="L41"/>
  <c r="L39"/>
  <c r="L38"/>
  <c r="L36"/>
  <c r="L35" s="1"/>
  <c r="L34"/>
  <c r="L33" s="1"/>
  <c r="L32"/>
  <c r="L31"/>
  <c r="L30"/>
  <c r="L24"/>
  <c r="L23" s="1"/>
  <c r="L22" s="1"/>
  <c r="L21" s="1"/>
  <c r="L20" s="1"/>
  <c r="L19" s="1"/>
  <c r="L701" i="3"/>
  <c r="L698"/>
  <c r="L696"/>
  <c r="L695"/>
  <c r="L685"/>
  <c r="L682"/>
  <c r="L680"/>
  <c r="L679"/>
  <c r="L677"/>
  <c r="L676"/>
  <c r="L669"/>
  <c r="L668" s="1"/>
  <c r="L667" s="1"/>
  <c r="L666" s="1"/>
  <c r="L665" s="1"/>
  <c r="L664" s="1"/>
  <c r="L663" s="1"/>
  <c r="L660"/>
  <c r="L659"/>
  <c r="L658"/>
  <c r="L652"/>
  <c r="L651" s="1"/>
  <c r="L650"/>
  <c r="L649"/>
  <c r="L648"/>
  <c r="L641"/>
  <c r="L640" s="1"/>
  <c r="L639" s="1"/>
  <c r="L638"/>
  <c r="L637" s="1"/>
  <c r="L636" s="1"/>
  <c r="L635"/>
  <c r="L634" s="1"/>
  <c r="L633" s="1"/>
  <c r="L626"/>
  <c r="L625"/>
  <c r="L624"/>
  <c r="L618"/>
  <c r="L617"/>
  <c r="L611"/>
  <c r="L610" s="1"/>
  <c r="L609" s="1"/>
  <c r="L608" s="1"/>
  <c r="L607"/>
  <c r="L606" s="1"/>
  <c r="L605"/>
  <c r="L604" s="1"/>
  <c r="L603"/>
  <c r="L602" s="1"/>
  <c r="L601"/>
  <c r="L600" s="1"/>
  <c r="L599"/>
  <c r="L593"/>
  <c r="L592" s="1"/>
  <c r="L591" s="1"/>
  <c r="L590" s="1"/>
  <c r="L586"/>
  <c r="L585" s="1"/>
  <c r="L584" s="1"/>
  <c r="L583" s="1"/>
  <c r="L582" s="1"/>
  <c r="L581" s="1"/>
  <c r="L580" s="1"/>
  <c r="L577"/>
  <c r="L576" s="1"/>
  <c r="L575"/>
  <c r="L573"/>
  <c r="L571"/>
  <c r="L570"/>
  <c r="L569"/>
  <c r="L565"/>
  <c r="L564" s="1"/>
  <c r="L563" s="1"/>
  <c r="L562" s="1"/>
  <c r="L559"/>
  <c r="L558" s="1"/>
  <c r="L557"/>
  <c r="L556" s="1"/>
  <c r="L553"/>
  <c r="L551"/>
  <c r="L548"/>
  <c r="L547" s="1"/>
  <c r="L546"/>
  <c r="L545" s="1"/>
  <c r="L531"/>
  <c r="L530" s="1"/>
  <c r="L529" s="1"/>
  <c r="L528" s="1"/>
  <c r="L527" s="1"/>
  <c r="L526" s="1"/>
  <c r="L525"/>
  <c r="L524" s="1"/>
  <c r="L523"/>
  <c r="L522" s="1"/>
  <c r="L521"/>
  <c r="L520" s="1"/>
  <c r="L505"/>
  <c r="L504"/>
  <c r="L497"/>
  <c r="L496"/>
  <c r="L494"/>
  <c r="L493" s="1"/>
  <c r="L490"/>
  <c r="L489"/>
  <c r="L488"/>
  <c r="L487"/>
  <c r="L485"/>
  <c r="L483"/>
  <c r="L479"/>
  <c r="L478" s="1"/>
  <c r="L477" s="1"/>
  <c r="L476" s="1"/>
  <c r="L473"/>
  <c r="L472" s="1"/>
  <c r="L465"/>
  <c r="L464" s="1"/>
  <c r="L463" s="1"/>
  <c r="L462"/>
  <c r="L461" s="1"/>
  <c r="L458"/>
  <c r="L457" s="1"/>
  <c r="L456"/>
  <c r="L455"/>
  <c r="L453"/>
  <c r="L452"/>
  <c r="L450"/>
  <c r="L449"/>
  <c r="L441"/>
  <c r="L440"/>
  <c r="L436"/>
  <c r="L435" s="1"/>
  <c r="L434" s="1"/>
  <c r="L433"/>
  <c r="L432"/>
  <c r="L427"/>
  <c r="L426"/>
  <c r="L424"/>
  <c r="L423"/>
  <c r="L422"/>
  <c r="L420"/>
  <c r="L419"/>
  <c r="L418"/>
  <c r="L416"/>
  <c r="L415"/>
  <c r="L408"/>
  <c r="L407"/>
  <c r="L404"/>
  <c r="L402"/>
  <c r="L399"/>
  <c r="L393"/>
  <c r="L392" s="1"/>
  <c r="L391" s="1"/>
  <c r="L388"/>
  <c r="L387" s="1"/>
  <c r="L386" s="1"/>
  <c r="L383"/>
  <c r="L382" s="1"/>
  <c r="L381"/>
  <c r="L380" s="1"/>
  <c r="L379"/>
  <c r="L378" s="1"/>
  <c r="L375"/>
  <c r="L374" s="1"/>
  <c r="L368"/>
  <c r="L367" s="1"/>
  <c r="L366" s="1"/>
  <c r="L365"/>
  <c r="L364" s="1"/>
  <c r="L363" s="1"/>
  <c r="L353"/>
  <c r="L352" s="1"/>
  <c r="L351"/>
  <c r="L350" s="1"/>
  <c r="L344"/>
  <c r="L343" s="1"/>
  <c r="L342" s="1"/>
  <c r="L341" s="1"/>
  <c r="L340" s="1"/>
  <c r="L339" s="1"/>
  <c r="L338"/>
  <c r="L337" s="1"/>
  <c r="L336" s="1"/>
  <c r="L335" s="1"/>
  <c r="L334" s="1"/>
  <c r="L333" s="1"/>
  <c r="L331"/>
  <c r="L330" s="1"/>
  <c r="L329"/>
  <c r="L328" s="1"/>
  <c r="L322"/>
  <c r="L321" s="1"/>
  <c r="L320" s="1"/>
  <c r="L319" s="1"/>
  <c r="L318" s="1"/>
  <c r="L317" s="1"/>
  <c r="L316" s="1"/>
  <c r="L315"/>
  <c r="L314"/>
  <c r="L313"/>
  <c r="L304"/>
  <c r="L303" s="1"/>
  <c r="L302" s="1"/>
  <c r="L301"/>
  <c r="L300" s="1"/>
  <c r="L299" s="1"/>
  <c r="L298"/>
  <c r="L297" s="1"/>
  <c r="L296"/>
  <c r="L295"/>
  <c r="L294"/>
  <c r="L292"/>
  <c r="L291"/>
  <c r="L290"/>
  <c r="L286"/>
  <c r="L285"/>
  <c r="L282"/>
  <c r="L281" s="1"/>
  <c r="L280" s="1"/>
  <c r="L273"/>
  <c r="L272" s="1"/>
  <c r="L271"/>
  <c r="L270"/>
  <c r="L269"/>
  <c r="L255"/>
  <c r="L254" s="1"/>
  <c r="L253" s="1"/>
  <c r="L252" s="1"/>
  <c r="L251" s="1"/>
  <c r="L250" s="1"/>
  <c r="L249" s="1"/>
  <c r="L248"/>
  <c r="L247" s="1"/>
  <c r="L246" s="1"/>
  <c r="L245"/>
  <c r="L244" s="1"/>
  <c r="L243" s="1"/>
  <c r="L239"/>
  <c r="L238" s="1"/>
  <c r="L237" s="1"/>
  <c r="L236"/>
  <c r="L235"/>
  <c r="L203"/>
  <c r="L202" s="1"/>
  <c r="L201" s="1"/>
  <c r="L200" s="1"/>
  <c r="L199" s="1"/>
  <c r="L198" s="1"/>
  <c r="L197" s="1"/>
  <c r="L196"/>
  <c r="L195" s="1"/>
  <c r="L194" s="1"/>
  <c r="L193" s="1"/>
  <c r="L192" s="1"/>
  <c r="L191" s="1"/>
  <c r="L177"/>
  <c r="L176" s="1"/>
  <c r="L175" s="1"/>
  <c r="L174" s="1"/>
  <c r="L173" s="1"/>
  <c r="L172" s="1"/>
  <c r="L163"/>
  <c r="L162" s="1"/>
  <c r="L161"/>
  <c r="L160"/>
  <c r="L155"/>
  <c r="L154" s="1"/>
  <c r="L153"/>
  <c r="L152" s="1"/>
  <c r="L148"/>
  <c r="L147" s="1"/>
  <c r="L146" s="1"/>
  <c r="L145" s="1"/>
  <c r="L144"/>
  <c r="L143" s="1"/>
  <c r="L142" s="1"/>
  <c r="L141" s="1"/>
  <c r="L138"/>
  <c r="L137" s="1"/>
  <c r="L136" s="1"/>
  <c r="L135" s="1"/>
  <c r="L134" s="1"/>
  <c r="L133" s="1"/>
  <c r="L132"/>
  <c r="L131" s="1"/>
  <c r="L130" s="1"/>
  <c r="L129"/>
  <c r="L128" s="1"/>
  <c r="L127" s="1"/>
  <c r="L122"/>
  <c r="L121" s="1"/>
  <c r="L120" s="1"/>
  <c r="L119" s="1"/>
  <c r="L118"/>
  <c r="L117" s="1"/>
  <c r="L116" s="1"/>
  <c r="L115"/>
  <c r="L113"/>
  <c r="L109"/>
  <c r="L108" s="1"/>
  <c r="L107" s="1"/>
  <c r="L106"/>
  <c r="L105" s="1"/>
  <c r="L104"/>
  <c r="L103" s="1"/>
  <c r="L98"/>
  <c r="L97" s="1"/>
  <c r="L96"/>
  <c r="L95" s="1"/>
  <c r="L94"/>
  <c r="L93" s="1"/>
  <c r="L92"/>
  <c r="L91" s="1"/>
  <c r="L82"/>
  <c r="L81" s="1"/>
  <c r="L80" s="1"/>
  <c r="L79"/>
  <c r="L78" s="1"/>
  <c r="L77" s="1"/>
  <c r="L76"/>
  <c r="L75" s="1"/>
  <c r="L74" s="1"/>
  <c r="L73"/>
  <c r="L72" s="1"/>
  <c r="L71"/>
  <c r="L70" s="1"/>
  <c r="L68"/>
  <c r="L67"/>
  <c r="L62"/>
  <c r="L61" s="1"/>
  <c r="L60" s="1"/>
  <c r="L59" s="1"/>
  <c r="L58" s="1"/>
  <c r="L56"/>
  <c r="L55" s="1"/>
  <c r="L54" s="1"/>
  <c r="L53" s="1"/>
  <c r="L52" s="1"/>
  <c r="L51"/>
  <c r="L50" s="1"/>
  <c r="L49" s="1"/>
  <c r="L48" s="1"/>
  <c r="L47" s="1"/>
  <c r="L46" s="1"/>
  <c r="L45"/>
  <c r="L44" s="1"/>
  <c r="L43" s="1"/>
  <c r="L42"/>
  <c r="L41" s="1"/>
  <c r="L40"/>
  <c r="L39"/>
  <c r="L37"/>
  <c r="L36"/>
  <c r="L34"/>
  <c r="L33" s="1"/>
  <c r="L32"/>
  <c r="L31" s="1"/>
  <c r="L30"/>
  <c r="L29"/>
  <c r="L28"/>
  <c r="L448"/>
  <c r="L22"/>
  <c r="L21" s="1"/>
  <c r="L20" s="1"/>
  <c r="L19" s="1"/>
  <c r="L18" s="1"/>
  <c r="L17" s="1"/>
  <c r="L390" l="1"/>
  <c r="L389" s="1"/>
  <c r="L171"/>
  <c r="L35"/>
  <c r="L27"/>
  <c r="L332"/>
  <c r="L533" i="19"/>
  <c r="L675" i="3"/>
  <c r="L38"/>
  <c r="L530" i="19"/>
  <c r="L308"/>
  <c r="L549"/>
  <c r="L694" i="3"/>
  <c r="L495"/>
  <c r="L447"/>
  <c r="L446" s="1"/>
  <c r="L151"/>
  <c r="L150" s="1"/>
  <c r="L149" s="1"/>
  <c r="L284"/>
  <c r="L283" s="1"/>
  <c r="L279" s="1"/>
  <c r="L268"/>
  <c r="L267" s="1"/>
  <c r="L266" s="1"/>
  <c r="L265" s="1"/>
  <c r="L264" s="1"/>
  <c r="L263" s="1"/>
  <c r="L417"/>
  <c r="L616"/>
  <c r="L615" s="1"/>
  <c r="L614" s="1"/>
  <c r="L613" s="1"/>
  <c r="L612" s="1"/>
  <c r="L66"/>
  <c r="L65" s="1"/>
  <c r="L431"/>
  <c r="L312"/>
  <c r="L311" s="1"/>
  <c r="L310" s="1"/>
  <c r="L309" s="1"/>
  <c r="L568"/>
  <c r="L437" i="19"/>
  <c r="L546"/>
  <c r="L37"/>
  <c r="L333"/>
  <c r="L332" s="1"/>
  <c r="L331" s="1"/>
  <c r="L330" s="1"/>
  <c r="L68"/>
  <c r="L67" s="1"/>
  <c r="L104"/>
  <c r="L103" s="1"/>
  <c r="L102" s="1"/>
  <c r="L226"/>
  <c r="L311"/>
  <c r="L319"/>
  <c r="L375"/>
  <c r="L477"/>
  <c r="L476" s="1"/>
  <c r="L475" s="1"/>
  <c r="L474" s="1"/>
  <c r="L473" s="1"/>
  <c r="L536"/>
  <c r="L29"/>
  <c r="L183"/>
  <c r="L182" s="1"/>
  <c r="L181" s="1"/>
  <c r="L180" s="1"/>
  <c r="L179" s="1"/>
  <c r="L383"/>
  <c r="L382" s="1"/>
  <c r="L381" s="1"/>
  <c r="L380" s="1"/>
  <c r="L379" s="1"/>
  <c r="L378" s="1"/>
  <c r="L305"/>
  <c r="L315"/>
  <c r="L209"/>
  <c r="L208" s="1"/>
  <c r="L207" s="1"/>
  <c r="L206" s="1"/>
  <c r="L205" s="1"/>
  <c r="L204" s="1"/>
  <c r="L230"/>
  <c r="L245"/>
  <c r="L244" s="1"/>
  <c r="L243" s="1"/>
  <c r="L242" s="1"/>
  <c r="L322"/>
  <c r="L419"/>
  <c r="L418" s="1"/>
  <c r="L459"/>
  <c r="L458" s="1"/>
  <c r="L457" s="1"/>
  <c r="L452" s="1"/>
  <c r="L451" s="1"/>
  <c r="L509"/>
  <c r="L508" s="1"/>
  <c r="L507" s="1"/>
  <c r="L506" s="1"/>
  <c r="L505" s="1"/>
  <c r="L40"/>
  <c r="L144"/>
  <c r="L143" s="1"/>
  <c r="L142" s="1"/>
  <c r="L141" s="1"/>
  <c r="L327"/>
  <c r="L326" s="1"/>
  <c r="L325" s="1"/>
  <c r="L366"/>
  <c r="L527"/>
  <c r="L543"/>
  <c r="L501"/>
  <c r="L500" s="1"/>
  <c r="L499" s="1"/>
  <c r="L498" s="1"/>
  <c r="L497" s="1"/>
  <c r="L433"/>
  <c r="L370"/>
  <c r="L340"/>
  <c r="L300"/>
  <c r="L219"/>
  <c r="L218" s="1"/>
  <c r="L71"/>
  <c r="L95"/>
  <c r="L398"/>
  <c r="L397" s="1"/>
  <c r="L189"/>
  <c r="L188" s="1"/>
  <c r="L187" s="1"/>
  <c r="L260"/>
  <c r="L259" s="1"/>
  <c r="L258" s="1"/>
  <c r="L257" s="1"/>
  <c r="L256" s="1"/>
  <c r="L413"/>
  <c r="L111"/>
  <c r="L110" s="1"/>
  <c r="L109" s="1"/>
  <c r="L156"/>
  <c r="L86"/>
  <c r="L85" s="1"/>
  <c r="L84" s="1"/>
  <c r="L83" s="1"/>
  <c r="L125"/>
  <c r="L284"/>
  <c r="L283" s="1"/>
  <c r="L282" s="1"/>
  <c r="L281" s="1"/>
  <c r="L270"/>
  <c r="L269" s="1"/>
  <c r="L268" s="1"/>
  <c r="L267" s="1"/>
  <c r="L151"/>
  <c r="L149" s="1"/>
  <c r="L148" s="1"/>
  <c r="L147" s="1"/>
  <c r="L424"/>
  <c r="L423" s="1"/>
  <c r="L136"/>
  <c r="L135" s="1"/>
  <c r="L134" s="1"/>
  <c r="L486"/>
  <c r="L485" s="1"/>
  <c r="L484" s="1"/>
  <c r="L483" s="1"/>
  <c r="L647" i="3"/>
  <c r="L646" s="1"/>
  <c r="L645" s="1"/>
  <c r="L644" s="1"/>
  <c r="L643" s="1"/>
  <c r="L657"/>
  <c r="L656" s="1"/>
  <c r="L655" s="1"/>
  <c r="L654" s="1"/>
  <c r="L653" s="1"/>
  <c r="L69"/>
  <c r="L406"/>
  <c r="L414"/>
  <c r="L425"/>
  <c r="L349"/>
  <c r="L348" s="1"/>
  <c r="L347" s="1"/>
  <c r="L346" s="1"/>
  <c r="L345" s="1"/>
  <c r="L159"/>
  <c r="L158" s="1"/>
  <c r="L157" s="1"/>
  <c r="L156" s="1"/>
  <c r="L289"/>
  <c r="L421"/>
  <c r="L439"/>
  <c r="L438" s="1"/>
  <c r="L437" s="1"/>
  <c r="L454"/>
  <c r="L503"/>
  <c r="L502" s="1"/>
  <c r="L501" s="1"/>
  <c r="L500" s="1"/>
  <c r="L499" s="1"/>
  <c r="L498" s="1"/>
  <c r="L623"/>
  <c r="L622" s="1"/>
  <c r="L621" s="1"/>
  <c r="L620" s="1"/>
  <c r="L619" s="1"/>
  <c r="L678"/>
  <c r="L486"/>
  <c r="L293"/>
  <c r="L451"/>
  <c r="L327"/>
  <c r="L326" s="1"/>
  <c r="L325" s="1"/>
  <c r="L324" s="1"/>
  <c r="L323" s="1"/>
  <c r="L555"/>
  <c r="L554" s="1"/>
  <c r="L469"/>
  <c r="L468" s="1"/>
  <c r="L467" s="1"/>
  <c r="L466" s="1"/>
  <c r="L90"/>
  <c r="L89" s="1"/>
  <c r="L88" s="1"/>
  <c r="L87" s="1"/>
  <c r="L519"/>
  <c r="L518" s="1"/>
  <c r="L517" s="1"/>
  <c r="L516" s="1"/>
  <c r="L632"/>
  <c r="L631" s="1"/>
  <c r="L630" s="1"/>
  <c r="L629" s="1"/>
  <c r="L242"/>
  <c r="L241" s="1"/>
  <c r="L240" s="1"/>
  <c r="L140"/>
  <c r="L126"/>
  <c r="L125" s="1"/>
  <c r="L124" s="1"/>
  <c r="L102"/>
  <c r="L101" s="1"/>
  <c r="L64" l="1"/>
  <c r="L63" s="1"/>
  <c r="L57" s="1"/>
  <c r="L496" i="19"/>
  <c r="L482" s="1"/>
  <c r="L432"/>
  <c r="L431" s="1"/>
  <c r="L430" s="1"/>
  <c r="L429" s="1"/>
  <c r="L26" i="3"/>
  <c r="L25" s="1"/>
  <c r="L24" s="1"/>
  <c r="L23" s="1"/>
  <c r="L299" i="19"/>
  <c r="L178"/>
  <c r="L177" s="1"/>
  <c r="L339"/>
  <c r="L338" s="1"/>
  <c r="L337" s="1"/>
  <c r="L336" s="1"/>
  <c r="L542"/>
  <c r="L541" s="1"/>
  <c r="L540" s="1"/>
  <c r="L539" s="1"/>
  <c r="L94"/>
  <c r="L93" s="1"/>
  <c r="L82" s="1"/>
  <c r="L365"/>
  <c r="L364" s="1"/>
  <c r="L363" s="1"/>
  <c r="L362" s="1"/>
  <c r="L450"/>
  <c r="L442" s="1"/>
  <c r="L225"/>
  <c r="L224" s="1"/>
  <c r="L217" s="1"/>
  <c r="L216" s="1"/>
  <c r="L215" s="1"/>
  <c r="L214" s="1"/>
  <c r="L66"/>
  <c r="L65" s="1"/>
  <c r="L59" s="1"/>
  <c r="L526"/>
  <c r="L525" s="1"/>
  <c r="L524" s="1"/>
  <c r="L523" s="1"/>
  <c r="L28"/>
  <c r="L27" s="1"/>
  <c r="L26" s="1"/>
  <c r="L25" s="1"/>
  <c r="L412"/>
  <c r="L411" s="1"/>
  <c r="L410" s="1"/>
  <c r="L396"/>
  <c r="L395" s="1"/>
  <c r="L124"/>
  <c r="L108" s="1"/>
  <c r="L642" i="3"/>
  <c r="L628" s="1"/>
  <c r="L445"/>
  <c r="L444" s="1"/>
  <c r="L443" s="1"/>
  <c r="L442" s="1"/>
  <c r="L288"/>
  <c r="L287" s="1"/>
  <c r="L139"/>
  <c r="L123" s="1"/>
  <c r="L278" l="1"/>
  <c r="L277" s="1"/>
  <c r="L276" s="1"/>
  <c r="L275" s="1"/>
  <c r="L298" i="19"/>
  <c r="L297" s="1"/>
  <c r="L296" s="1"/>
  <c r="L280" s="1"/>
  <c r="L266" s="1"/>
  <c r="L16" i="3"/>
  <c r="L409" i="19"/>
  <c r="L18"/>
  <c r="L17" s="1"/>
  <c r="L522"/>
  <c r="L514" s="1"/>
  <c r="D24" i="15" l="1"/>
  <c r="D14" s="1"/>
  <c r="C24"/>
  <c r="C14" s="1"/>
  <c r="C23" i="5"/>
  <c r="C13" s="1"/>
  <c r="L400" i="3" l="1"/>
  <c r="M598" l="1"/>
  <c r="L598" s="1"/>
  <c r="L574"/>
  <c r="L572" s="1"/>
  <c r="L567" s="1"/>
  <c r="L566" s="1"/>
  <c r="L561" s="1"/>
  <c r="L560" s="1"/>
  <c r="L552"/>
  <c r="L550" s="1"/>
  <c r="L549" s="1"/>
  <c r="L544"/>
  <c r="L543" s="1"/>
  <c r="L542" s="1"/>
  <c r="M537"/>
  <c r="L537" s="1"/>
  <c r="L536" s="1"/>
  <c r="L535" s="1"/>
  <c r="L534" s="1"/>
  <c r="L533" s="1"/>
  <c r="L532" s="1"/>
  <c r="L515" s="1"/>
  <c r="M514"/>
  <c r="L514" s="1"/>
  <c r="L513" s="1"/>
  <c r="L512" s="1"/>
  <c r="L511" s="1"/>
  <c r="L410"/>
  <c r="L413"/>
  <c r="L377"/>
  <c r="L376" s="1"/>
  <c r="L484"/>
  <c r="L482" s="1"/>
  <c r="M362"/>
  <c r="N303" i="19"/>
  <c r="H473" i="7"/>
  <c r="H472" s="1"/>
  <c r="M162" i="3"/>
  <c r="H277" i="7"/>
  <c r="H276" s="1"/>
  <c r="H275" s="1"/>
  <c r="H274" s="1"/>
  <c r="M121" i="3"/>
  <c r="M120" s="1"/>
  <c r="M119" s="1"/>
  <c r="L114"/>
  <c r="L112" s="1"/>
  <c r="L111" s="1"/>
  <c r="L110" s="1"/>
  <c r="L100" s="1"/>
  <c r="L99" s="1"/>
  <c r="H143" i="18"/>
  <c r="H142" s="1"/>
  <c r="H141" s="1"/>
  <c r="L373" i="3" l="1"/>
  <c r="L372" s="1"/>
  <c r="L371" s="1"/>
  <c r="L370" s="1"/>
  <c r="L362"/>
  <c r="L361" s="1"/>
  <c r="L360" s="1"/>
  <c r="L359" s="1"/>
  <c r="L358" s="1"/>
  <c r="L357" s="1"/>
  <c r="L356" s="1"/>
  <c r="M361"/>
  <c r="L86"/>
  <c r="L15" s="1"/>
  <c r="L409"/>
  <c r="L509"/>
  <c r="L508" s="1"/>
  <c r="L510"/>
  <c r="L481"/>
  <c r="L480" s="1"/>
  <c r="L475" s="1"/>
  <c r="L474" s="1"/>
  <c r="L541"/>
  <c r="L540" s="1"/>
  <c r="L539" s="1"/>
  <c r="L538" s="1"/>
  <c r="L597"/>
  <c r="L596" s="1"/>
  <c r="L595" s="1"/>
  <c r="L594" s="1"/>
  <c r="L589" s="1"/>
  <c r="L588" s="1"/>
  <c r="N479" i="19"/>
  <c r="N472"/>
  <c r="I143" i="18" s="1"/>
  <c r="I142" s="1"/>
  <c r="I141" s="1"/>
  <c r="H467" i="7"/>
  <c r="H466" s="1"/>
  <c r="H465" s="1"/>
  <c r="M75" i="3"/>
  <c r="M74" s="1"/>
  <c r="L587" l="1"/>
  <c r="L579" s="1"/>
  <c r="L507"/>
  <c r="N471" i="19"/>
  <c r="N470" s="1"/>
  <c r="N469" s="1"/>
  <c r="N468" s="1"/>
  <c r="N467" s="1"/>
  <c r="N602" s="1"/>
  <c r="E49" i="17" s="1"/>
  <c r="M471" i="19"/>
  <c r="M470" s="1"/>
  <c r="M469" s="1"/>
  <c r="M468" s="1"/>
  <c r="M467" s="1"/>
  <c r="M602" s="1"/>
  <c r="D49" i="17" s="1"/>
  <c r="H52" i="7"/>
  <c r="H53"/>
  <c r="H37" i="18"/>
  <c r="I37"/>
  <c r="I38"/>
  <c r="H38"/>
  <c r="H36" l="1"/>
  <c r="I36"/>
  <c r="H51" i="7"/>
  <c r="C65" i="2"/>
  <c r="M234" i="3"/>
  <c r="M702"/>
  <c r="L702" s="1"/>
  <c r="L700" s="1"/>
  <c r="M699"/>
  <c r="L699" s="1"/>
  <c r="L697" s="1"/>
  <c r="M686"/>
  <c r="L686" s="1"/>
  <c r="L684" s="1"/>
  <c r="M683"/>
  <c r="L683" s="1"/>
  <c r="L681" s="1"/>
  <c r="L234" l="1"/>
  <c r="L233" s="1"/>
  <c r="L232" s="1"/>
  <c r="L231" s="1"/>
  <c r="L230" s="1"/>
  <c r="L229" s="1"/>
  <c r="M233"/>
  <c r="L674"/>
  <c r="L693"/>
  <c r="L692" s="1"/>
  <c r="L691" s="1"/>
  <c r="L690" s="1"/>
  <c r="N308" i="19"/>
  <c r="M308"/>
  <c r="M414" i="3"/>
  <c r="D27" i="16"/>
  <c r="C27"/>
  <c r="L228" i="3" l="1"/>
  <c r="L227" s="1"/>
  <c r="L673"/>
  <c r="L672" s="1"/>
  <c r="L671" s="1"/>
  <c r="L670" s="1"/>
  <c r="L662" s="1"/>
  <c r="C68" i="2"/>
  <c r="C67" s="1"/>
  <c r="D73" i="16"/>
  <c r="D72" s="1"/>
  <c r="D39" i="15" s="1"/>
  <c r="C73" i="16"/>
  <c r="C72" s="1"/>
  <c r="C39" i="15" s="1"/>
  <c r="C38" i="2" l="1"/>
  <c r="D42" i="16"/>
  <c r="C36" i="2"/>
  <c r="C35"/>
  <c r="L405" i="3" l="1"/>
  <c r="L403" s="1"/>
  <c r="I299" i="18" l="1"/>
  <c r="I298" s="1"/>
  <c r="H299"/>
  <c r="H298" s="1"/>
  <c r="I301"/>
  <c r="I300" s="1"/>
  <c r="H301"/>
  <c r="H300" s="1"/>
  <c r="H297" l="1"/>
  <c r="H296" s="1"/>
  <c r="I297"/>
  <c r="I296" s="1"/>
  <c r="C16" i="8" l="1"/>
  <c r="C15" s="1"/>
  <c r="C14" s="1"/>
  <c r="L401" i="3" l="1"/>
  <c r="L398" s="1"/>
  <c r="L397" l="1"/>
  <c r="L396" s="1"/>
  <c r="L395" s="1"/>
  <c r="L394" s="1"/>
  <c r="L369" s="1"/>
  <c r="L355" s="1"/>
  <c r="L14" s="1"/>
  <c r="N152" i="19"/>
  <c r="N154"/>
  <c r="M152"/>
  <c r="M154"/>
  <c r="M151" l="1"/>
  <c r="M149" s="1"/>
  <c r="M148" s="1"/>
  <c r="M579" s="1"/>
  <c r="D32" i="17" s="1"/>
  <c r="N151" i="19"/>
  <c r="N150" s="1"/>
  <c r="N149" s="1"/>
  <c r="N148" s="1"/>
  <c r="N147" s="1"/>
  <c r="C20" i="2"/>
  <c r="M147" i="19" l="1"/>
  <c r="N579"/>
  <c r="E32" i="17" s="1"/>
  <c r="I88" i="18"/>
  <c r="I87" s="1"/>
  <c r="I86" s="1"/>
  <c r="H88"/>
  <c r="H87" s="1"/>
  <c r="H86" s="1"/>
  <c r="I91"/>
  <c r="I90" s="1"/>
  <c r="I89" s="1"/>
  <c r="H91"/>
  <c r="H90" s="1"/>
  <c r="H89" s="1"/>
  <c r="I94"/>
  <c r="I93" s="1"/>
  <c r="I92" s="1"/>
  <c r="H94"/>
  <c r="H93" s="1"/>
  <c r="H92" s="1"/>
  <c r="I200"/>
  <c r="H200"/>
  <c r="N354" i="19"/>
  <c r="N353" s="1"/>
  <c r="N352" s="1"/>
  <c r="N351" s="1"/>
  <c r="M354"/>
  <c r="M353" s="1"/>
  <c r="M352" s="1"/>
  <c r="M351" s="1"/>
  <c r="H65" i="18"/>
  <c r="I65"/>
  <c r="H51"/>
  <c r="I51"/>
  <c r="I52"/>
  <c r="H52"/>
  <c r="N322" i="19"/>
  <c r="M322"/>
  <c r="H34" i="18"/>
  <c r="I34"/>
  <c r="I35"/>
  <c r="H35"/>
  <c r="N305" i="19"/>
  <c r="M305"/>
  <c r="N272"/>
  <c r="N271" s="1"/>
  <c r="M272"/>
  <c r="M271" s="1"/>
  <c r="N275"/>
  <c r="N274" s="1"/>
  <c r="M275"/>
  <c r="M274" s="1"/>
  <c r="N278"/>
  <c r="N277" s="1"/>
  <c r="M278"/>
  <c r="M277" s="1"/>
  <c r="H33" i="18" l="1"/>
  <c r="I33"/>
  <c r="H50"/>
  <c r="I50"/>
  <c r="N270" i="19"/>
  <c r="N269" s="1"/>
  <c r="N268" s="1"/>
  <c r="N267" s="1"/>
  <c r="M270"/>
  <c r="M269" s="1"/>
  <c r="M268" s="1"/>
  <c r="M267" s="1"/>
  <c r="H127" i="7" l="1"/>
  <c r="H126" s="1"/>
  <c r="H125" s="1"/>
  <c r="H130"/>
  <c r="H129" s="1"/>
  <c r="H128" s="1"/>
  <c r="H133"/>
  <c r="H132" s="1"/>
  <c r="H131" s="1"/>
  <c r="M360" i="3"/>
  <c r="M364"/>
  <c r="M363" s="1"/>
  <c r="M366"/>
  <c r="H113" i="7"/>
  <c r="H112" s="1"/>
  <c r="M493" i="3"/>
  <c r="H124" i="7"/>
  <c r="H123" s="1"/>
  <c r="H120" l="1"/>
  <c r="M359" i="3"/>
  <c r="M358" s="1"/>
  <c r="M357" s="1"/>
  <c r="M356" s="1"/>
  <c r="M472"/>
  <c r="H98" i="7"/>
  <c r="H97" s="1"/>
  <c r="H96" s="1"/>
  <c r="M464" i="3"/>
  <c r="M463" s="1"/>
  <c r="H73" i="7"/>
  <c r="H72" s="1"/>
  <c r="H71" s="1"/>
  <c r="M435" i="3"/>
  <c r="M434" s="1"/>
  <c r="M387"/>
  <c r="M386" s="1"/>
  <c r="M469" l="1"/>
  <c r="M468" s="1"/>
  <c r="M467" s="1"/>
  <c r="M466" s="1"/>
  <c r="I161" i="18"/>
  <c r="I160" s="1"/>
  <c r="I159" s="1"/>
  <c r="H161"/>
  <c r="H160" s="1"/>
  <c r="H159" s="1"/>
  <c r="I158"/>
  <c r="I157" s="1"/>
  <c r="H158"/>
  <c r="H157" s="1"/>
  <c r="N465" i="19"/>
  <c r="M465"/>
  <c r="N463"/>
  <c r="M463"/>
  <c r="N448"/>
  <c r="N447" s="1"/>
  <c r="N446" s="1"/>
  <c r="N445" s="1"/>
  <c r="N444" s="1"/>
  <c r="N443" s="1"/>
  <c r="M448"/>
  <c r="M447" s="1"/>
  <c r="M446" s="1"/>
  <c r="M445" s="1"/>
  <c r="M444" s="1"/>
  <c r="M443" s="1"/>
  <c r="H219" i="7"/>
  <c r="H218" s="1"/>
  <c r="H217" s="1"/>
  <c r="H216" s="1"/>
  <c r="H215"/>
  <c r="H214" s="1"/>
  <c r="H213" s="1"/>
  <c r="I119" i="18" l="1"/>
  <c r="I118" s="1"/>
  <c r="H119"/>
  <c r="H118" s="1"/>
  <c r="N425" i="19"/>
  <c r="M425"/>
  <c r="I115" i="18"/>
  <c r="N407" i="19"/>
  <c r="I114" i="18" s="1"/>
  <c r="M408" i="19"/>
  <c r="I102" i="18"/>
  <c r="H102"/>
  <c r="N401" i="19"/>
  <c r="I101" i="18" s="1"/>
  <c r="M401" i="19"/>
  <c r="H101" i="18" s="1"/>
  <c r="I134"/>
  <c r="I133" s="1"/>
  <c r="I132" s="1"/>
  <c r="H134"/>
  <c r="H133" s="1"/>
  <c r="H132" s="1"/>
  <c r="N392" i="19"/>
  <c r="N391" s="1"/>
  <c r="N390" s="1"/>
  <c r="N389" s="1"/>
  <c r="N388" s="1"/>
  <c r="M392"/>
  <c r="M391" s="1"/>
  <c r="M390" s="1"/>
  <c r="M389" s="1"/>
  <c r="M388" s="1"/>
  <c r="I340" i="18"/>
  <c r="H340"/>
  <c r="N167" i="19"/>
  <c r="N166" s="1"/>
  <c r="N165" s="1"/>
  <c r="N164" s="1"/>
  <c r="N163" s="1"/>
  <c r="M167"/>
  <c r="M166" s="1"/>
  <c r="M165" s="1"/>
  <c r="M164" s="1"/>
  <c r="M163" s="1"/>
  <c r="I332" i="18"/>
  <c r="I331" s="1"/>
  <c r="H332"/>
  <c r="H331" s="1"/>
  <c r="N137" i="19"/>
  <c r="M137"/>
  <c r="I322" i="18"/>
  <c r="I321" s="1"/>
  <c r="I320" s="1"/>
  <c r="I319" s="1"/>
  <c r="H322"/>
  <c r="H321" s="1"/>
  <c r="H320" s="1"/>
  <c r="H319" s="1"/>
  <c r="N128" i="19"/>
  <c r="N127" s="1"/>
  <c r="N126" s="1"/>
  <c r="M128"/>
  <c r="M127" s="1"/>
  <c r="M126" s="1"/>
  <c r="I204" i="18"/>
  <c r="I203" s="1"/>
  <c r="I202" s="1"/>
  <c r="H204"/>
  <c r="H203" s="1"/>
  <c r="H202" s="1"/>
  <c r="I198"/>
  <c r="I197" s="1"/>
  <c r="H198"/>
  <c r="H197" s="1"/>
  <c r="N100" i="19"/>
  <c r="N99" s="1"/>
  <c r="M100"/>
  <c r="M99" s="1"/>
  <c r="N97"/>
  <c r="N96" s="1"/>
  <c r="M97"/>
  <c r="M96" s="1"/>
  <c r="I391" i="18"/>
  <c r="I390" s="1"/>
  <c r="I389" s="1"/>
  <c r="H391"/>
  <c r="H390" s="1"/>
  <c r="H389" s="1"/>
  <c r="I394"/>
  <c r="I393" s="1"/>
  <c r="I392" s="1"/>
  <c r="H394"/>
  <c r="H393" s="1"/>
  <c r="H392" s="1"/>
  <c r="I376"/>
  <c r="H376"/>
  <c r="H370"/>
  <c r="I370"/>
  <c r="I371"/>
  <c r="H371"/>
  <c r="I374"/>
  <c r="I373" s="1"/>
  <c r="H374"/>
  <c r="H373" s="1"/>
  <c r="I339"/>
  <c r="I338" s="1"/>
  <c r="I337" s="1"/>
  <c r="I336" s="1"/>
  <c r="H339"/>
  <c r="H338" s="1"/>
  <c r="H337" s="1"/>
  <c r="H336" s="1"/>
  <c r="N80" i="19"/>
  <c r="N79" s="1"/>
  <c r="M80"/>
  <c r="M79" s="1"/>
  <c r="N77"/>
  <c r="N76" s="1"/>
  <c r="M77"/>
  <c r="M76" s="1"/>
  <c r="N74"/>
  <c r="I375" i="18" s="1"/>
  <c r="M74" i="19"/>
  <c r="M72"/>
  <c r="N72"/>
  <c r="N68"/>
  <c r="N67" s="1"/>
  <c r="M68"/>
  <c r="M67" s="1"/>
  <c r="N63"/>
  <c r="N62" s="1"/>
  <c r="N61" s="1"/>
  <c r="N60" s="1"/>
  <c r="M63"/>
  <c r="M62" s="1"/>
  <c r="M61" s="1"/>
  <c r="M60" s="1"/>
  <c r="I363" i="18"/>
  <c r="H363"/>
  <c r="N40" i="19"/>
  <c r="M40"/>
  <c r="H115" i="18" l="1"/>
  <c r="L408" i="19"/>
  <c r="L407" s="1"/>
  <c r="L406" s="1"/>
  <c r="L405" s="1"/>
  <c r="L404" s="1"/>
  <c r="L403" s="1"/>
  <c r="L394" s="1"/>
  <c r="L387" s="1"/>
  <c r="L15" s="1"/>
  <c r="M407"/>
  <c r="H114" i="18" s="1"/>
  <c r="N406" i="19"/>
  <c r="N405" s="1"/>
  <c r="N404" s="1"/>
  <c r="N403" s="1"/>
  <c r="N95"/>
  <c r="M95"/>
  <c r="N71"/>
  <c r="N66" s="1"/>
  <c r="N65" s="1"/>
  <c r="N59" s="1"/>
  <c r="M71"/>
  <c r="M66" s="1"/>
  <c r="M65" s="1"/>
  <c r="M59" s="1"/>
  <c r="I372" i="18"/>
  <c r="H375"/>
  <c r="H372" s="1"/>
  <c r="H369"/>
  <c r="I369"/>
  <c r="M596" i="3"/>
  <c r="M585"/>
  <c r="M584" s="1"/>
  <c r="M583" s="1"/>
  <c r="M582" s="1"/>
  <c r="M581" s="1"/>
  <c r="M580" s="1"/>
  <c r="M406" i="19" l="1"/>
  <c r="M405" s="1"/>
  <c r="M404" s="1"/>
  <c r="M403" s="1"/>
  <c r="I113" i="18"/>
  <c r="H273" i="7"/>
  <c r="H272" s="1"/>
  <c r="H271" s="1"/>
  <c r="H476"/>
  <c r="H475" s="1"/>
  <c r="H474" s="1"/>
  <c r="H479"/>
  <c r="H478" s="1"/>
  <c r="H477" s="1"/>
  <c r="M78" i="3"/>
  <c r="M77" s="1"/>
  <c r="M81"/>
  <c r="M80" s="1"/>
  <c r="H451" i="7"/>
  <c r="H113" i="18" l="1"/>
  <c r="I247"/>
  <c r="I246" s="1"/>
  <c r="H247"/>
  <c r="H246" s="1"/>
  <c r="I250"/>
  <c r="I249" s="1"/>
  <c r="I248" s="1"/>
  <c r="H250"/>
  <c r="H249" s="1"/>
  <c r="H248" s="1"/>
  <c r="I253"/>
  <c r="I252" s="1"/>
  <c r="I251" s="1"/>
  <c r="H253"/>
  <c r="H252" s="1"/>
  <c r="H251" s="1"/>
  <c r="I381"/>
  <c r="H381"/>
  <c r="N245" i="19"/>
  <c r="M245"/>
  <c r="N240"/>
  <c r="N239" s="1"/>
  <c r="M240"/>
  <c r="M239" s="1"/>
  <c r="N237"/>
  <c r="N236" s="1"/>
  <c r="M237"/>
  <c r="M236" s="1"/>
  <c r="N234"/>
  <c r="M234"/>
  <c r="M303" i="3"/>
  <c r="H165" i="7" l="1"/>
  <c r="H141"/>
  <c r="H140" s="1"/>
  <c r="M522" i="3"/>
  <c r="M556" l="1"/>
  <c r="H180" i="7"/>
  <c r="H179" s="1"/>
  <c r="H161"/>
  <c r="H160" s="1"/>
  <c r="H159" s="1"/>
  <c r="I169" i="18"/>
  <c r="H169"/>
  <c r="H183" i="7"/>
  <c r="H182" s="1"/>
  <c r="H181" s="1"/>
  <c r="I178" i="18"/>
  <c r="I177" s="1"/>
  <c r="I176" s="1"/>
  <c r="H178"/>
  <c r="H177" s="1"/>
  <c r="H176" s="1"/>
  <c r="I181"/>
  <c r="I180" s="1"/>
  <c r="I179" s="1"/>
  <c r="H181"/>
  <c r="H180" s="1"/>
  <c r="H179" s="1"/>
  <c r="I184"/>
  <c r="I183" s="1"/>
  <c r="I182" s="1"/>
  <c r="H184"/>
  <c r="H183" s="1"/>
  <c r="H182" s="1"/>
  <c r="H237" i="7"/>
  <c r="H236" s="1"/>
  <c r="H235" s="1"/>
  <c r="H240"/>
  <c r="H239" s="1"/>
  <c r="H238" s="1"/>
  <c r="H243"/>
  <c r="H242" s="1"/>
  <c r="H241" s="1"/>
  <c r="N501" i="19" l="1"/>
  <c r="M501"/>
  <c r="N494"/>
  <c r="N493" s="1"/>
  <c r="M494"/>
  <c r="M493" s="1"/>
  <c r="N491"/>
  <c r="N490" s="1"/>
  <c r="M491"/>
  <c r="M490" s="1"/>
  <c r="N488"/>
  <c r="N487" s="1"/>
  <c r="M488"/>
  <c r="M487" s="1"/>
  <c r="M640" i="3"/>
  <c r="M639" s="1"/>
  <c r="M637"/>
  <c r="M636" s="1"/>
  <c r="M634"/>
  <c r="M633" s="1"/>
  <c r="N486" i="19" l="1"/>
  <c r="N485" s="1"/>
  <c r="N484" s="1"/>
  <c r="N483" s="1"/>
  <c r="M486"/>
  <c r="M485" s="1"/>
  <c r="M484" s="1"/>
  <c r="M483" s="1"/>
  <c r="M632" i="3"/>
  <c r="M631" s="1"/>
  <c r="M630" s="1"/>
  <c r="M629" s="1"/>
  <c r="N209" i="19"/>
  <c r="N208" s="1"/>
  <c r="M209"/>
  <c r="M208" s="1"/>
  <c r="M576" i="3"/>
  <c r="M530" l="1"/>
  <c r="M529" s="1"/>
  <c r="M528" s="1"/>
  <c r="M527" s="1"/>
  <c r="M526" s="1"/>
  <c r="M513"/>
  <c r="M512" s="1"/>
  <c r="M511" s="1"/>
  <c r="M509" l="1"/>
  <c r="M508" s="1"/>
  <c r="M510"/>
  <c r="C25" i="16"/>
  <c r="D25"/>
  <c r="H289" i="7" l="1"/>
  <c r="D55" i="6" l="1"/>
  <c r="I227" i="18" l="1"/>
  <c r="I226" s="1"/>
  <c r="I225" s="1"/>
  <c r="H227"/>
  <c r="H226" s="1"/>
  <c r="H225" s="1"/>
  <c r="I224"/>
  <c r="I223" s="1"/>
  <c r="I222" s="1"/>
  <c r="H224"/>
  <c r="H223" s="1"/>
  <c r="H222" s="1"/>
  <c r="N194" i="19"/>
  <c r="N193" s="1"/>
  <c r="M194"/>
  <c r="M193" s="1"/>
  <c r="H299" i="7"/>
  <c r="H298" s="1"/>
  <c r="H297" s="1"/>
  <c r="M247" i="3"/>
  <c r="M246" s="1"/>
  <c r="N191" i="19" l="1"/>
  <c r="N190" s="1"/>
  <c r="N189" s="1"/>
  <c r="N188" s="1"/>
  <c r="N187" s="1"/>
  <c r="M191"/>
  <c r="M190" s="1"/>
  <c r="M189" s="1"/>
  <c r="M188" l="1"/>
  <c r="M187" s="1"/>
  <c r="M536" i="3" l="1"/>
  <c r="M535" s="1"/>
  <c r="M534" s="1"/>
  <c r="M533" s="1"/>
  <c r="M532" s="1"/>
  <c r="M546" i="19" l="1"/>
  <c r="D23" i="16" l="1"/>
  <c r="C23"/>
  <c r="D29"/>
  <c r="C29"/>
  <c r="D32"/>
  <c r="C32"/>
  <c r="M20" i="3" l="1"/>
  <c r="M19" s="1"/>
  <c r="M18" s="1"/>
  <c r="M17" s="1"/>
  <c r="M711" s="1"/>
  <c r="M31"/>
  <c r="M33"/>
  <c r="M41"/>
  <c r="M43"/>
  <c r="M49"/>
  <c r="M48" s="1"/>
  <c r="M47" s="1"/>
  <c r="M46" s="1"/>
  <c r="M713" s="1"/>
  <c r="M53"/>
  <c r="M52" s="1"/>
  <c r="M60"/>
  <c r="M59" s="1"/>
  <c r="M58" s="1"/>
  <c r="M65"/>
  <c r="M70"/>
  <c r="M72"/>
  <c r="M91"/>
  <c r="M93"/>
  <c r="M95"/>
  <c r="M97"/>
  <c r="M103"/>
  <c r="M105"/>
  <c r="M108"/>
  <c r="M107" s="1"/>
  <c r="M128"/>
  <c r="M127" s="1"/>
  <c r="M131"/>
  <c r="M130" s="1"/>
  <c r="M137"/>
  <c r="M136" s="1"/>
  <c r="M135" s="1"/>
  <c r="M134" s="1"/>
  <c r="M133" s="1"/>
  <c r="M724" s="1"/>
  <c r="M143"/>
  <c r="M142" s="1"/>
  <c r="M141" s="1"/>
  <c r="M147"/>
  <c r="M146" s="1"/>
  <c r="M145" s="1"/>
  <c r="M152"/>
  <c r="M154"/>
  <c r="M176"/>
  <c r="M175" s="1"/>
  <c r="M174" s="1"/>
  <c r="M173" s="1"/>
  <c r="M172" s="1"/>
  <c r="M195"/>
  <c r="M194" s="1"/>
  <c r="M193" s="1"/>
  <c r="M192" s="1"/>
  <c r="M191" s="1"/>
  <c r="M232"/>
  <c r="M238"/>
  <c r="M237" s="1"/>
  <c r="M244"/>
  <c r="M243" s="1"/>
  <c r="M242" s="1"/>
  <c r="M254"/>
  <c r="M253" s="1"/>
  <c r="M252" s="1"/>
  <c r="M251" s="1"/>
  <c r="M250" s="1"/>
  <c r="M249" s="1"/>
  <c r="M272"/>
  <c r="M267" s="1"/>
  <c r="M281"/>
  <c r="M280" s="1"/>
  <c r="M297"/>
  <c r="M300"/>
  <c r="M299" s="1"/>
  <c r="M311"/>
  <c r="M310" s="1"/>
  <c r="M309" s="1"/>
  <c r="M321"/>
  <c r="M320" s="1"/>
  <c r="M319" s="1"/>
  <c r="M318" s="1"/>
  <c r="M317" s="1"/>
  <c r="M316" s="1"/>
  <c r="M328"/>
  <c r="M330"/>
  <c r="M337"/>
  <c r="M336" s="1"/>
  <c r="M335" s="1"/>
  <c r="M334" s="1"/>
  <c r="M333" s="1"/>
  <c r="M343"/>
  <c r="M342" s="1"/>
  <c r="M341" s="1"/>
  <c r="M340" s="1"/>
  <c r="M339" s="1"/>
  <c r="M350"/>
  <c r="M352"/>
  <c r="M374"/>
  <c r="M376"/>
  <c r="M378"/>
  <c r="M380"/>
  <c r="M382"/>
  <c r="M392"/>
  <c r="M391" s="1"/>
  <c r="M417"/>
  <c r="M451"/>
  <c r="M454"/>
  <c r="M457"/>
  <c r="M461"/>
  <c r="M495"/>
  <c r="M520"/>
  <c r="M524"/>
  <c r="M543"/>
  <c r="M545"/>
  <c r="M547"/>
  <c r="M600"/>
  <c r="M602"/>
  <c r="M604"/>
  <c r="M606"/>
  <c r="M610"/>
  <c r="M609" s="1"/>
  <c r="M608" s="1"/>
  <c r="M616"/>
  <c r="M615" s="1"/>
  <c r="M614" s="1"/>
  <c r="M613" s="1"/>
  <c r="M623"/>
  <c r="M622" s="1"/>
  <c r="M621" s="1"/>
  <c r="M620" s="1"/>
  <c r="M619" s="1"/>
  <c r="M754" s="1"/>
  <c r="M657"/>
  <c r="M656" s="1"/>
  <c r="M655" s="1"/>
  <c r="M654" s="1"/>
  <c r="M653" s="1"/>
  <c r="M668"/>
  <c r="M667" s="1"/>
  <c r="M666" s="1"/>
  <c r="M665" s="1"/>
  <c r="M664" s="1"/>
  <c r="M663" s="1"/>
  <c r="M678"/>
  <c r="M681"/>
  <c r="M684"/>
  <c r="M694"/>
  <c r="M697"/>
  <c r="M700"/>
  <c r="M23" i="19"/>
  <c r="M22" s="1"/>
  <c r="M21" s="1"/>
  <c r="M20" s="1"/>
  <c r="M19" s="1"/>
  <c r="M29"/>
  <c r="M33"/>
  <c r="M35"/>
  <c r="M37"/>
  <c r="M43"/>
  <c r="M46"/>
  <c r="M45" s="1"/>
  <c r="M52"/>
  <c r="M51" s="1"/>
  <c r="M50" s="1"/>
  <c r="M49" s="1"/>
  <c r="M48" s="1"/>
  <c r="M564" s="1"/>
  <c r="M87"/>
  <c r="M89"/>
  <c r="M91"/>
  <c r="M113"/>
  <c r="M112" s="1"/>
  <c r="M116"/>
  <c r="M115" s="1"/>
  <c r="M122"/>
  <c r="M121" s="1"/>
  <c r="M120" s="1"/>
  <c r="M119" s="1"/>
  <c r="M118" s="1"/>
  <c r="M575" s="1"/>
  <c r="M132"/>
  <c r="M131" s="1"/>
  <c r="M130" s="1"/>
  <c r="M125" s="1"/>
  <c r="M139"/>
  <c r="M161"/>
  <c r="M160" s="1"/>
  <c r="M159" s="1"/>
  <c r="M158" s="1"/>
  <c r="M157" s="1"/>
  <c r="M156" s="1"/>
  <c r="M174"/>
  <c r="M173" s="1"/>
  <c r="M172" s="1"/>
  <c r="M171" s="1"/>
  <c r="M170" s="1"/>
  <c r="M169" s="1"/>
  <c r="M183"/>
  <c r="M182" s="1"/>
  <c r="M181" s="1"/>
  <c r="M180" s="1"/>
  <c r="M179" s="1"/>
  <c r="M178" s="1"/>
  <c r="M201"/>
  <c r="M200" s="1"/>
  <c r="M199" s="1"/>
  <c r="M198" s="1"/>
  <c r="M197" s="1"/>
  <c r="M220"/>
  <c r="M222"/>
  <c r="M226"/>
  <c r="M230"/>
  <c r="M244"/>
  <c r="M243" s="1"/>
  <c r="M242" s="1"/>
  <c r="M261"/>
  <c r="M263"/>
  <c r="M285"/>
  <c r="M287"/>
  <c r="M289"/>
  <c r="M294"/>
  <c r="M293" s="1"/>
  <c r="M292" s="1"/>
  <c r="M291" s="1"/>
  <c r="M300"/>
  <c r="M311"/>
  <c r="M315"/>
  <c r="M319"/>
  <c r="M327"/>
  <c r="M326" s="1"/>
  <c r="M325" s="1"/>
  <c r="M333"/>
  <c r="M332" s="1"/>
  <c r="M331" s="1"/>
  <c r="M330" s="1"/>
  <c r="M345"/>
  <c r="M349"/>
  <c r="M360"/>
  <c r="M359" s="1"/>
  <c r="M358" s="1"/>
  <c r="M357" s="1"/>
  <c r="M356" s="1"/>
  <c r="M366"/>
  <c r="M375"/>
  <c r="M383"/>
  <c r="M382" s="1"/>
  <c r="M381" s="1"/>
  <c r="M380" s="1"/>
  <c r="M379" s="1"/>
  <c r="M378" s="1"/>
  <c r="M399"/>
  <c r="M414"/>
  <c r="M416"/>
  <c r="M419"/>
  <c r="M418" s="1"/>
  <c r="M427"/>
  <c r="M433"/>
  <c r="M437"/>
  <c r="M455"/>
  <c r="M454" s="1"/>
  <c r="M453" s="1"/>
  <c r="M459"/>
  <c r="M458" s="1"/>
  <c r="M477"/>
  <c r="M476" s="1"/>
  <c r="M475" s="1"/>
  <c r="M474" s="1"/>
  <c r="M473" s="1"/>
  <c r="M500"/>
  <c r="M499" s="1"/>
  <c r="M498" s="1"/>
  <c r="M497" s="1"/>
  <c r="M509"/>
  <c r="M508" s="1"/>
  <c r="M507" s="1"/>
  <c r="M506" s="1"/>
  <c r="M505" s="1"/>
  <c r="M520"/>
  <c r="M519" s="1"/>
  <c r="M518" s="1"/>
  <c r="M517" s="1"/>
  <c r="M516" s="1"/>
  <c r="M515" s="1"/>
  <c r="M527"/>
  <c r="M530"/>
  <c r="M533"/>
  <c r="M536"/>
  <c r="M543"/>
  <c r="M549"/>
  <c r="M552"/>
  <c r="M612" s="1"/>
  <c r="M373" i="3" l="1"/>
  <c r="M390"/>
  <c r="M389" s="1"/>
  <c r="M171"/>
  <c r="M158"/>
  <c r="M157" s="1"/>
  <c r="M156" s="1"/>
  <c r="M299" i="19"/>
  <c r="M542" i="3"/>
  <c r="M372"/>
  <c r="M371" s="1"/>
  <c r="M603" i="19"/>
  <c r="M424"/>
  <c r="M423" s="1"/>
  <c r="M588"/>
  <c r="M398"/>
  <c r="M397" s="1"/>
  <c r="M136"/>
  <c r="M135" s="1"/>
  <c r="M134" s="1"/>
  <c r="M225"/>
  <c r="M224" s="1"/>
  <c r="M746" i="3"/>
  <c r="M715"/>
  <c r="M519"/>
  <c r="M606" i="19"/>
  <c r="M607" s="1"/>
  <c r="M241" i="3"/>
  <c r="M240" s="1"/>
  <c r="M457" i="19"/>
  <c r="M452" s="1"/>
  <c r="M451" s="1"/>
  <c r="M413"/>
  <c r="M412" s="1"/>
  <c r="M411" s="1"/>
  <c r="M410" s="1"/>
  <c r="M592" s="1"/>
  <c r="M760" i="3"/>
  <c r="M90"/>
  <c r="M89" s="1"/>
  <c r="M88" s="1"/>
  <c r="M87" s="1"/>
  <c r="M542" i="19"/>
  <c r="M541" s="1"/>
  <c r="M540" s="1"/>
  <c r="M539" s="1"/>
  <c r="M598" s="1"/>
  <c r="M526"/>
  <c r="M525" s="1"/>
  <c r="M524" s="1"/>
  <c r="M523" s="1"/>
  <c r="M86"/>
  <c r="M85" s="1"/>
  <c r="M84" s="1"/>
  <c r="M83" s="1"/>
  <c r="M570" s="1"/>
  <c r="M260"/>
  <c r="M259" s="1"/>
  <c r="M258" s="1"/>
  <c r="M257" s="1"/>
  <c r="M256" s="1"/>
  <c r="M219"/>
  <c r="M218" s="1"/>
  <c r="M207"/>
  <c r="M206" s="1"/>
  <c r="M205" s="1"/>
  <c r="M204" s="1"/>
  <c r="M349" i="3"/>
  <c r="M348" s="1"/>
  <c r="M347" s="1"/>
  <c r="M346" s="1"/>
  <c r="M345" s="1"/>
  <c r="M302"/>
  <c r="M674"/>
  <c r="M673" s="1"/>
  <c r="M693"/>
  <c r="M692" s="1"/>
  <c r="M691" s="1"/>
  <c r="M690" s="1"/>
  <c r="M503"/>
  <c r="M502" s="1"/>
  <c r="M501" s="1"/>
  <c r="M500" s="1"/>
  <c r="M499" s="1"/>
  <c r="M498" s="1"/>
  <c r="M446"/>
  <c r="M332"/>
  <c r="M266"/>
  <c r="M265" s="1"/>
  <c r="M264" s="1"/>
  <c r="M263" s="1"/>
  <c r="M151"/>
  <c r="M150" s="1"/>
  <c r="M149" s="1"/>
  <c r="M126"/>
  <c r="M125" s="1"/>
  <c r="M124" s="1"/>
  <c r="M723" s="1"/>
  <c r="M102"/>
  <c r="M101" s="1"/>
  <c r="M651"/>
  <c r="M647"/>
  <c r="M550"/>
  <c r="M549" s="1"/>
  <c r="M403"/>
  <c r="M283"/>
  <c r="M279" s="1"/>
  <c r="M612"/>
  <c r="M753" s="1"/>
  <c r="M595"/>
  <c r="M594" s="1"/>
  <c r="M592"/>
  <c r="M591" s="1"/>
  <c r="M590" s="1"/>
  <c r="M572"/>
  <c r="M568"/>
  <c r="M564"/>
  <c r="M563" s="1"/>
  <c r="M562" s="1"/>
  <c r="M558"/>
  <c r="M486"/>
  <c r="M482"/>
  <c r="M478"/>
  <c r="M477" s="1"/>
  <c r="M476" s="1"/>
  <c r="M439"/>
  <c r="M438" s="1"/>
  <c r="M437" s="1"/>
  <c r="M431"/>
  <c r="M425"/>
  <c r="M421"/>
  <c r="M406"/>
  <c r="M398"/>
  <c r="M327"/>
  <c r="M326" s="1"/>
  <c r="M325" s="1"/>
  <c r="M324" s="1"/>
  <c r="M231"/>
  <c r="M230" s="1"/>
  <c r="M229" s="1"/>
  <c r="M202"/>
  <c r="M201" s="1"/>
  <c r="M200" s="1"/>
  <c r="M199" s="1"/>
  <c r="M198" s="1"/>
  <c r="M117"/>
  <c r="M116" s="1"/>
  <c r="M140"/>
  <c r="M111"/>
  <c r="M69"/>
  <c r="M64" s="1"/>
  <c r="M38"/>
  <c r="M26" s="1"/>
  <c r="M196" i="19"/>
  <c r="M177" s="1"/>
  <c r="M609"/>
  <c r="M610" s="1"/>
  <c r="M596"/>
  <c r="M496"/>
  <c r="M482" s="1"/>
  <c r="M562"/>
  <c r="M144"/>
  <c r="M143" s="1"/>
  <c r="M142" s="1"/>
  <c r="M141" s="1"/>
  <c r="M432"/>
  <c r="M431" s="1"/>
  <c r="M430" s="1"/>
  <c r="M429" s="1"/>
  <c r="M593" s="1"/>
  <c r="M370"/>
  <c r="M365" s="1"/>
  <c r="M364" s="1"/>
  <c r="M363" s="1"/>
  <c r="M362" s="1"/>
  <c r="M589" s="1"/>
  <c r="M340"/>
  <c r="M339" s="1"/>
  <c r="M284"/>
  <c r="M254"/>
  <c r="M253" s="1"/>
  <c r="M252" s="1"/>
  <c r="M251" s="1"/>
  <c r="M250" s="1"/>
  <c r="M57"/>
  <c r="M56" s="1"/>
  <c r="M55" s="1"/>
  <c r="M54" s="1"/>
  <c r="M566" s="1"/>
  <c r="M111"/>
  <c r="M110" s="1"/>
  <c r="M109" s="1"/>
  <c r="M104"/>
  <c r="M103" s="1"/>
  <c r="M102" s="1"/>
  <c r="M28"/>
  <c r="M27" s="1"/>
  <c r="M26" s="1"/>
  <c r="M25" s="1"/>
  <c r="M563" s="1"/>
  <c r="M397" i="3" l="1"/>
  <c r="M370"/>
  <c r="M734" s="1"/>
  <c r="M298" i="19"/>
  <c r="M297" s="1"/>
  <c r="M296" s="1"/>
  <c r="M585" s="1"/>
  <c r="M481" i="3"/>
  <c r="M480" s="1"/>
  <c r="M475" s="1"/>
  <c r="M474" s="1"/>
  <c r="M450" i="19"/>
  <c r="M442" s="1"/>
  <c r="M396" i="3"/>
  <c r="M395" s="1"/>
  <c r="M672"/>
  <c r="M671" s="1"/>
  <c r="M110"/>
  <c r="M100" s="1"/>
  <c r="M338" i="19"/>
  <c r="M337" s="1"/>
  <c r="M336" s="1"/>
  <c r="M283"/>
  <c r="M282" s="1"/>
  <c r="M281" s="1"/>
  <c r="M445" i="3"/>
  <c r="M396" i="19"/>
  <c r="M395" s="1"/>
  <c r="M394" s="1"/>
  <c r="M124"/>
  <c r="M576" s="1"/>
  <c r="M94"/>
  <c r="M93" s="1"/>
  <c r="M18"/>
  <c r="M518" i="3"/>
  <c r="M517" s="1"/>
  <c r="M516" s="1"/>
  <c r="M515" s="1"/>
  <c r="M541"/>
  <c r="M567"/>
  <c r="M566" s="1"/>
  <c r="M561" s="1"/>
  <c r="M560" s="1"/>
  <c r="M743" s="1"/>
  <c r="M217" i="19"/>
  <c r="M216" s="1"/>
  <c r="M567" s="1"/>
  <c r="M597"/>
  <c r="M599" s="1"/>
  <c r="M763" i="3"/>
  <c r="M522" i="19"/>
  <c r="M514" s="1"/>
  <c r="M565"/>
  <c r="M139" i="3"/>
  <c r="M725" s="1"/>
  <c r="M726" s="1"/>
  <c r="M719"/>
  <c r="M589"/>
  <c r="M588" s="1"/>
  <c r="M63"/>
  <c r="M57" s="1"/>
  <c r="M288"/>
  <c r="M287" s="1"/>
  <c r="M278" s="1"/>
  <c r="M749"/>
  <c r="M646"/>
  <c r="M645" s="1"/>
  <c r="M644" s="1"/>
  <c r="M643" s="1"/>
  <c r="M738" s="1"/>
  <c r="M757"/>
  <c r="M758" s="1"/>
  <c r="M197"/>
  <c r="M228"/>
  <c r="M227" s="1"/>
  <c r="M714"/>
  <c r="M555"/>
  <c r="M554" s="1"/>
  <c r="M25"/>
  <c r="M24" s="1"/>
  <c r="M23" s="1"/>
  <c r="M323"/>
  <c r="M729"/>
  <c r="M732" s="1"/>
  <c r="M574" i="19"/>
  <c r="M409"/>
  <c r="M601"/>
  <c r="M604" s="1"/>
  <c r="M580"/>
  <c r="M582" s="1"/>
  <c r="M249"/>
  <c r="M594"/>
  <c r="M748" i="3" l="1"/>
  <c r="M670"/>
  <c r="M662" s="1"/>
  <c r="M584" i="19"/>
  <c r="M280"/>
  <c r="M266" s="1"/>
  <c r="M444" i="3"/>
  <c r="M443" s="1"/>
  <c r="M442" s="1"/>
  <c r="M736" s="1"/>
  <c r="M739"/>
  <c r="M394"/>
  <c r="M735" s="1"/>
  <c r="M586" i="19"/>
  <c r="M387"/>
  <c r="M577"/>
  <c r="M108"/>
  <c r="M571"/>
  <c r="M572" s="1"/>
  <c r="M82"/>
  <c r="M99" i="3"/>
  <c r="M720" s="1"/>
  <c r="M721" s="1"/>
  <c r="M16"/>
  <c r="M587"/>
  <c r="M579" s="1"/>
  <c r="M752"/>
  <c r="M755" s="1"/>
  <c r="M277"/>
  <c r="M716" s="1"/>
  <c r="M642"/>
  <c r="M628" s="1"/>
  <c r="M540"/>
  <c r="M539" s="1"/>
  <c r="M742" s="1"/>
  <c r="M744" s="1"/>
  <c r="M215" i="19"/>
  <c r="M214" s="1"/>
  <c r="M568"/>
  <c r="M123" i="3"/>
  <c r="M712"/>
  <c r="M750"/>
  <c r="M17" i="19" l="1"/>
  <c r="M15" s="1"/>
  <c r="M590"/>
  <c r="M369" i="3"/>
  <c r="M355" s="1"/>
  <c r="M86"/>
  <c r="M740"/>
  <c r="M538"/>
  <c r="M507" s="1"/>
  <c r="M717"/>
  <c r="M276"/>
  <c r="M275" s="1"/>
  <c r="M15" l="1"/>
  <c r="M14" s="1"/>
  <c r="C26" i="8" s="1"/>
  <c r="M764" i="3"/>
  <c r="H86" i="7"/>
  <c r="I233" i="18" l="1"/>
  <c r="I232" s="1"/>
  <c r="H233"/>
  <c r="H232" s="1"/>
  <c r="N220" i="19"/>
  <c r="C22" i="2" l="1"/>
  <c r="H69" i="7" l="1"/>
  <c r="H70"/>
  <c r="H68" l="1"/>
  <c r="H375" l="1"/>
  <c r="H374" s="1"/>
  <c r="H210" l="1"/>
  <c r="H209" s="1"/>
  <c r="H208" l="1"/>
  <c r="H207" s="1"/>
  <c r="H85" l="1"/>
  <c r="H84" s="1"/>
  <c r="H443" l="1"/>
  <c r="N543" i="19" l="1"/>
  <c r="H226" i="7" l="1"/>
  <c r="N360" i="19" l="1"/>
  <c r="N359" s="1"/>
  <c r="N358" s="1"/>
  <c r="N357" s="1"/>
  <c r="N356" s="1"/>
  <c r="H85" i="18" l="1"/>
  <c r="H84" s="1"/>
  <c r="H83" s="1"/>
  <c r="I85"/>
  <c r="I84" s="1"/>
  <c r="I83" s="1"/>
  <c r="H88" i="7" l="1"/>
  <c r="H87" s="1"/>
  <c r="H41" l="1"/>
  <c r="H461"/>
  <c r="H311" l="1"/>
  <c r="I107" i="18" l="1"/>
  <c r="I106" s="1"/>
  <c r="H107" l="1"/>
  <c r="H106" s="1"/>
  <c r="N416" i="19"/>
  <c r="H20" i="7" l="1"/>
  <c r="H19" s="1"/>
  <c r="H42"/>
  <c r="H40" s="1"/>
  <c r="H23"/>
  <c r="H143" l="1"/>
  <c r="H142" s="1"/>
  <c r="F21" i="22" l="1"/>
  <c r="I384" i="18" l="1"/>
  <c r="I383" s="1"/>
  <c r="I382" s="1"/>
  <c r="H384"/>
  <c r="H383" s="1"/>
  <c r="H382" s="1"/>
  <c r="N174" i="19"/>
  <c r="N173" s="1"/>
  <c r="N172" s="1"/>
  <c r="N171" s="1"/>
  <c r="N170" s="1"/>
  <c r="N169" s="1"/>
  <c r="C41" i="27"/>
  <c r="C31"/>
  <c r="C18"/>
  <c r="C17" l="1"/>
  <c r="C16" s="1"/>
  <c r="C15" s="1"/>
  <c r="C14" s="1"/>
  <c r="C13" s="1"/>
  <c r="C38" i="5" s="1"/>
  <c r="D52" i="17"/>
  <c r="D51" s="1"/>
  <c r="N606" i="19"/>
  <c r="E52" i="17" s="1"/>
  <c r="E51" s="1"/>
  <c r="H387" i="7"/>
  <c r="H386" s="1"/>
  <c r="I21" i="18" l="1"/>
  <c r="I22"/>
  <c r="I24"/>
  <c r="I23" s="1"/>
  <c r="I26"/>
  <c r="I25" s="1"/>
  <c r="I29"/>
  <c r="I32"/>
  <c r="I40"/>
  <c r="I41"/>
  <c r="I42"/>
  <c r="I48"/>
  <c r="I49"/>
  <c r="I61"/>
  <c r="I60" s="1"/>
  <c r="I64"/>
  <c r="I69"/>
  <c r="I70"/>
  <c r="I71"/>
  <c r="I74"/>
  <c r="I75"/>
  <c r="I76"/>
  <c r="I78"/>
  <c r="I79"/>
  <c r="I81"/>
  <c r="I82"/>
  <c r="I105"/>
  <c r="I104" s="1"/>
  <c r="I103" s="1"/>
  <c r="I110"/>
  <c r="I111"/>
  <c r="I112"/>
  <c r="I121"/>
  <c r="I120" s="1"/>
  <c r="I125"/>
  <c r="I126"/>
  <c r="I127"/>
  <c r="I129"/>
  <c r="I131"/>
  <c r="I140"/>
  <c r="I139" s="1"/>
  <c r="I138" s="1"/>
  <c r="I137" s="1"/>
  <c r="I147"/>
  <c r="I148"/>
  <c r="I149"/>
  <c r="I152"/>
  <c r="I153"/>
  <c r="I154"/>
  <c r="I156"/>
  <c r="I155" s="1"/>
  <c r="I167"/>
  <c r="I168"/>
  <c r="I173"/>
  <c r="I174"/>
  <c r="I175"/>
  <c r="I190"/>
  <c r="I189" s="1"/>
  <c r="I192"/>
  <c r="I191" s="1"/>
  <c r="I194"/>
  <c r="I193" s="1"/>
  <c r="I208"/>
  <c r="I209"/>
  <c r="I210"/>
  <c r="I216"/>
  <c r="I217"/>
  <c r="I218"/>
  <c r="I221"/>
  <c r="I220" s="1"/>
  <c r="I219" s="1"/>
  <c r="I235"/>
  <c r="I234" s="1"/>
  <c r="I239"/>
  <c r="I240"/>
  <c r="I241"/>
  <c r="I243"/>
  <c r="I244"/>
  <c r="I245"/>
  <c r="I259"/>
  <c r="I260"/>
  <c r="I262"/>
  <c r="I263"/>
  <c r="I265"/>
  <c r="I266"/>
  <c r="I268"/>
  <c r="I269"/>
  <c r="I271"/>
  <c r="I270" s="1"/>
  <c r="I276"/>
  <c r="I275" s="1"/>
  <c r="I274"/>
  <c r="I273" s="1"/>
  <c r="I279"/>
  <c r="I280"/>
  <c r="I282"/>
  <c r="I283"/>
  <c r="I285"/>
  <c r="I286"/>
  <c r="I289"/>
  <c r="I288" s="1"/>
  <c r="I287" s="1"/>
  <c r="I295"/>
  <c r="I294" s="1"/>
  <c r="I293" s="1"/>
  <c r="I292" s="1"/>
  <c r="I291" s="1"/>
  <c r="I307"/>
  <c r="I306" s="1"/>
  <c r="I305" s="1"/>
  <c r="I310"/>
  <c r="I309" s="1"/>
  <c r="I308" s="1"/>
  <c r="I316"/>
  <c r="I315" s="1"/>
  <c r="I314" s="1"/>
  <c r="I313" s="1"/>
  <c r="I312" s="1"/>
  <c r="I326"/>
  <c r="I325" s="1"/>
  <c r="I324" s="1"/>
  <c r="I323" s="1"/>
  <c r="I318" s="1"/>
  <c r="I334"/>
  <c r="I333" s="1"/>
  <c r="I346"/>
  <c r="I345" s="1"/>
  <c r="I344" s="1"/>
  <c r="I349"/>
  <c r="I350"/>
  <c r="I351"/>
  <c r="I353"/>
  <c r="I352" s="1"/>
  <c r="I355"/>
  <c r="I354" s="1"/>
  <c r="I357"/>
  <c r="I356" s="1"/>
  <c r="I359"/>
  <c r="I360"/>
  <c r="I362"/>
  <c r="I361" s="1"/>
  <c r="I365"/>
  <c r="I364" s="1"/>
  <c r="I368"/>
  <c r="I367" s="1"/>
  <c r="I366" s="1"/>
  <c r="I379"/>
  <c r="I380"/>
  <c r="I387"/>
  <c r="I388"/>
  <c r="I399"/>
  <c r="I400"/>
  <c r="I401"/>
  <c r="I406"/>
  <c r="I405" s="1"/>
  <c r="H201"/>
  <c r="H82"/>
  <c r="H81"/>
  <c r="H79"/>
  <c r="H78"/>
  <c r="H76"/>
  <c r="H75"/>
  <c r="H74"/>
  <c r="H71"/>
  <c r="H70"/>
  <c r="H69"/>
  <c r="H64"/>
  <c r="H61"/>
  <c r="H49"/>
  <c r="H48"/>
  <c r="H46"/>
  <c r="H45"/>
  <c r="H44"/>
  <c r="H42"/>
  <c r="H41"/>
  <c r="H40"/>
  <c r="H32"/>
  <c r="H29"/>
  <c r="H26"/>
  <c r="H24"/>
  <c r="H22"/>
  <c r="H21"/>
  <c r="N383" i="19"/>
  <c r="N382" s="1"/>
  <c r="N381" s="1"/>
  <c r="N380" s="1"/>
  <c r="N379" s="1"/>
  <c r="N378" s="1"/>
  <c r="N375"/>
  <c r="N366"/>
  <c r="N349"/>
  <c r="N345"/>
  <c r="I59" i="18"/>
  <c r="I58"/>
  <c r="I57"/>
  <c r="I56"/>
  <c r="N327" i="19"/>
  <c r="N326" s="1"/>
  <c r="N325" s="1"/>
  <c r="N319"/>
  <c r="N318"/>
  <c r="I46" i="18" s="1"/>
  <c r="I45"/>
  <c r="I44"/>
  <c r="N311" i="19"/>
  <c r="I31" i="18"/>
  <c r="I30"/>
  <c r="N294" i="19"/>
  <c r="N293" s="1"/>
  <c r="N292" s="1"/>
  <c r="N291" s="1"/>
  <c r="N289"/>
  <c r="N287"/>
  <c r="I19" i="18"/>
  <c r="I18" s="1"/>
  <c r="I117" l="1"/>
  <c r="I116" s="1"/>
  <c r="I330"/>
  <c r="I329" s="1"/>
  <c r="I328" s="1"/>
  <c r="I378"/>
  <c r="I377" s="1"/>
  <c r="I166"/>
  <c r="I165" s="1"/>
  <c r="I164" s="1"/>
  <c r="I398"/>
  <c r="I397" s="1"/>
  <c r="I231"/>
  <c r="I230" s="1"/>
  <c r="I404"/>
  <c r="I403" s="1"/>
  <c r="H30"/>
  <c r="H56"/>
  <c r="H57"/>
  <c r="H58"/>
  <c r="H59"/>
  <c r="N333" i="19"/>
  <c r="N332" s="1"/>
  <c r="N331" s="1"/>
  <c r="N330" s="1"/>
  <c r="H73" i="18"/>
  <c r="H72" s="1"/>
  <c r="H19"/>
  <c r="H31"/>
  <c r="N285" i="19"/>
  <c r="N300"/>
  <c r="I201" i="18"/>
  <c r="I199" s="1"/>
  <c r="I258"/>
  <c r="I386"/>
  <c r="I385" s="1"/>
  <c r="I281"/>
  <c r="I261"/>
  <c r="I68"/>
  <c r="I207"/>
  <c r="I206" s="1"/>
  <c r="I205" s="1"/>
  <c r="I238"/>
  <c r="I146"/>
  <c r="I145" s="1"/>
  <c r="I215"/>
  <c r="I214" s="1"/>
  <c r="I172"/>
  <c r="I171" s="1"/>
  <c r="I170" s="1"/>
  <c r="I109"/>
  <c r="I108" s="1"/>
  <c r="I77"/>
  <c r="I39"/>
  <c r="I28"/>
  <c r="I20"/>
  <c r="I17" s="1"/>
  <c r="I358"/>
  <c r="I284"/>
  <c r="I278"/>
  <c r="I80"/>
  <c r="I47"/>
  <c r="I272"/>
  <c r="I348"/>
  <c r="I242"/>
  <c r="I151"/>
  <c r="I150" s="1"/>
  <c r="I43"/>
  <c r="I264"/>
  <c r="I267"/>
  <c r="I124"/>
  <c r="I55"/>
  <c r="I54" s="1"/>
  <c r="I53" s="1"/>
  <c r="I188"/>
  <c r="I187" s="1"/>
  <c r="I304"/>
  <c r="I303" s="1"/>
  <c r="H199"/>
  <c r="H196" s="1"/>
  <c r="H195" s="1"/>
  <c r="H80"/>
  <c r="N315" i="19"/>
  <c r="N340"/>
  <c r="N371"/>
  <c r="I73" i="18" s="1"/>
  <c r="I72" s="1"/>
  <c r="I27" l="1"/>
  <c r="I16" s="1"/>
  <c r="N299" i="19"/>
  <c r="N298" s="1"/>
  <c r="N284"/>
  <c r="N283" s="1"/>
  <c r="N282" s="1"/>
  <c r="N281" s="1"/>
  <c r="N584" s="1"/>
  <c r="I144" i="18"/>
  <c r="I136" s="1"/>
  <c r="I196"/>
  <c r="I195" s="1"/>
  <c r="I186" s="1"/>
  <c r="I237"/>
  <c r="I236" s="1"/>
  <c r="I229" s="1"/>
  <c r="I213"/>
  <c r="I212" s="1"/>
  <c r="N339" i="19"/>
  <c r="I277" i="18"/>
  <c r="I163"/>
  <c r="I67"/>
  <c r="I66" s="1"/>
  <c r="I347"/>
  <c r="I343" s="1"/>
  <c r="I342" s="1"/>
  <c r="I257"/>
  <c r="N370" i="19"/>
  <c r="N365" s="1"/>
  <c r="N364" s="1"/>
  <c r="N363" s="1"/>
  <c r="N362" s="1"/>
  <c r="N338" l="1"/>
  <c r="N337" s="1"/>
  <c r="N336" s="1"/>
  <c r="N297"/>
  <c r="N296" s="1"/>
  <c r="I256" i="18"/>
  <c r="I255" s="1"/>
  <c r="I15"/>
  <c r="H118" i="7"/>
  <c r="H488"/>
  <c r="H119"/>
  <c r="H116"/>
  <c r="H115"/>
  <c r="H108"/>
  <c r="H95"/>
  <c r="H92"/>
  <c r="H91" s="1"/>
  <c r="H83"/>
  <c r="H82"/>
  <c r="H64"/>
  <c r="H63"/>
  <c r="H61"/>
  <c r="H60"/>
  <c r="H59"/>
  <c r="H57"/>
  <c r="H56"/>
  <c r="H55"/>
  <c r="H36"/>
  <c r="H31"/>
  <c r="H29"/>
  <c r="H27"/>
  <c r="H26"/>
  <c r="H104"/>
  <c r="H79"/>
  <c r="H78"/>
  <c r="H45"/>
  <c r="H44"/>
  <c r="H38"/>
  <c r="H37"/>
  <c r="N280" i="19" l="1"/>
  <c r="N266" s="1"/>
  <c r="H80" i="7"/>
  <c r="H103"/>
  <c r="H109"/>
  <c r="H39"/>
  <c r="H35" s="1"/>
  <c r="H77"/>
  <c r="H107"/>
  <c r="N585" i="19"/>
  <c r="H18" i="7"/>
  <c r="H22"/>
  <c r="H47"/>
  <c r="H106"/>
  <c r="H102"/>
  <c r="H117"/>
  <c r="E36" i="17" l="1"/>
  <c r="D36"/>
  <c r="E35"/>
  <c r="D35"/>
  <c r="H406" i="18"/>
  <c r="H401"/>
  <c r="H400"/>
  <c r="H399"/>
  <c r="H388"/>
  <c r="H387"/>
  <c r="H380"/>
  <c r="H379"/>
  <c r="H368"/>
  <c r="H367" s="1"/>
  <c r="H366" s="1"/>
  <c r="H365"/>
  <c r="H362"/>
  <c r="H361" s="1"/>
  <c r="H360"/>
  <c r="H359"/>
  <c r="H357"/>
  <c r="H355"/>
  <c r="H353"/>
  <c r="H351"/>
  <c r="H350"/>
  <c r="H349"/>
  <c r="H346"/>
  <c r="H334"/>
  <c r="H333" s="1"/>
  <c r="H326"/>
  <c r="H325" s="1"/>
  <c r="H324" s="1"/>
  <c r="H323" s="1"/>
  <c r="H318" s="1"/>
  <c r="H316"/>
  <c r="H310"/>
  <c r="H307"/>
  <c r="H295"/>
  <c r="H294" s="1"/>
  <c r="H293" s="1"/>
  <c r="H292" s="1"/>
  <c r="H291" s="1"/>
  <c r="H289"/>
  <c r="H288" s="1"/>
  <c r="H287" s="1"/>
  <c r="H286"/>
  <c r="H285"/>
  <c r="H283"/>
  <c r="H282"/>
  <c r="H280"/>
  <c r="H279"/>
  <c r="H274"/>
  <c r="H276"/>
  <c r="H271"/>
  <c r="H269"/>
  <c r="H268"/>
  <c r="H266"/>
  <c r="H265"/>
  <c r="H263"/>
  <c r="H262"/>
  <c r="H260"/>
  <c r="H259"/>
  <c r="H245"/>
  <c r="H244"/>
  <c r="H243"/>
  <c r="H241"/>
  <c r="H240"/>
  <c r="H239"/>
  <c r="H235"/>
  <c r="H234" s="1"/>
  <c r="H330" l="1"/>
  <c r="H329" s="1"/>
  <c r="H328" s="1"/>
  <c r="H378"/>
  <c r="H398"/>
  <c r="H397" s="1"/>
  <c r="H231"/>
  <c r="H230" s="1"/>
  <c r="D34" i="6"/>
  <c r="H348" i="18"/>
  <c r="H238"/>
  <c r="H221"/>
  <c r="H218"/>
  <c r="H217"/>
  <c r="H216"/>
  <c r="H210"/>
  <c r="H209"/>
  <c r="H208"/>
  <c r="H194"/>
  <c r="H192"/>
  <c r="H191" s="1"/>
  <c r="H190"/>
  <c r="H189" s="1"/>
  <c r="H175"/>
  <c r="H174"/>
  <c r="H173"/>
  <c r="H168"/>
  <c r="H167"/>
  <c r="H156"/>
  <c r="H155" s="1"/>
  <c r="H154"/>
  <c r="H153"/>
  <c r="H152"/>
  <c r="H149"/>
  <c r="H148"/>
  <c r="H147"/>
  <c r="H140"/>
  <c r="H139" s="1"/>
  <c r="H138" s="1"/>
  <c r="H137" s="1"/>
  <c r="H131"/>
  <c r="H130"/>
  <c r="H129"/>
  <c r="H127"/>
  <c r="H126"/>
  <c r="H125"/>
  <c r="H121"/>
  <c r="H120" s="1"/>
  <c r="H112"/>
  <c r="H111"/>
  <c r="H110"/>
  <c r="H105"/>
  <c r="H100"/>
  <c r="H117" l="1"/>
  <c r="H116" s="1"/>
  <c r="H166"/>
  <c r="H207"/>
  <c r="H128"/>
  <c r="H109"/>
  <c r="H124"/>
  <c r="H529" i="7" l="1"/>
  <c r="H497"/>
  <c r="H495"/>
  <c r="H494"/>
  <c r="H493"/>
  <c r="H471"/>
  <c r="H470"/>
  <c r="H464"/>
  <c r="H460"/>
  <c r="H459"/>
  <c r="H456"/>
  <c r="H454"/>
  <c r="H450"/>
  <c r="H449" s="1"/>
  <c r="H448"/>
  <c r="H445"/>
  <c r="H440"/>
  <c r="H439"/>
  <c r="H437"/>
  <c r="H435"/>
  <c r="H433"/>
  <c r="H431"/>
  <c r="H430"/>
  <c r="H429"/>
  <c r="H426"/>
  <c r="H420"/>
  <c r="H412"/>
  <c r="H406"/>
  <c r="H402"/>
  <c r="H396"/>
  <c r="H390"/>
  <c r="H377"/>
  <c r="H369"/>
  <c r="H366"/>
  <c r="H365"/>
  <c r="H363"/>
  <c r="H362"/>
  <c r="H360"/>
  <c r="H359"/>
  <c r="H356"/>
  <c r="H351"/>
  <c r="H349"/>
  <c r="H348"/>
  <c r="H346"/>
  <c r="H345"/>
  <c r="H343"/>
  <c r="H342"/>
  <c r="H340"/>
  <c r="H339"/>
  <c r="H329"/>
  <c r="H326"/>
  <c r="H323"/>
  <c r="H321"/>
  <c r="H320"/>
  <c r="H319"/>
  <c r="H317"/>
  <c r="H316"/>
  <c r="H315"/>
  <c r="H310"/>
  <c r="H309" s="1"/>
  <c r="H307"/>
  <c r="H296"/>
  <c r="H293"/>
  <c r="H288"/>
  <c r="H285"/>
  <c r="H284"/>
  <c r="H283"/>
  <c r="H270"/>
  <c r="H268"/>
  <c r="H264"/>
  <c r="H261"/>
  <c r="H259"/>
  <c r="H255"/>
  <c r="H253"/>
  <c r="H251"/>
  <c r="H249"/>
  <c r="H234"/>
  <c r="H233"/>
  <c r="H232"/>
  <c r="H228"/>
  <c r="H227" s="1"/>
  <c r="H225"/>
  <c r="H224"/>
  <c r="H212"/>
  <c r="H211" s="1"/>
  <c r="H206"/>
  <c r="H204"/>
  <c r="H203"/>
  <c r="H202"/>
  <c r="H199"/>
  <c r="H198"/>
  <c r="H197"/>
  <c r="H193"/>
  <c r="H192"/>
  <c r="H189"/>
  <c r="H178"/>
  <c r="H177"/>
  <c r="H176"/>
  <c r="H173"/>
  <c r="H174"/>
  <c r="H172"/>
  <c r="H168"/>
  <c r="H167" s="1"/>
  <c r="H158"/>
  <c r="H157"/>
  <c r="H156"/>
  <c r="H153"/>
  <c r="H149"/>
  <c r="H146"/>
  <c r="H139"/>
  <c r="H201" l="1"/>
  <c r="H328"/>
  <c r="H327" s="1"/>
  <c r="H492"/>
  <c r="H223"/>
  <c r="H458"/>
  <c r="G21" i="22"/>
  <c r="F20" i="11"/>
  <c r="C16" i="21"/>
  <c r="B16"/>
  <c r="C15"/>
  <c r="B15"/>
  <c r="B14" i="9"/>
  <c r="B13" s="1"/>
  <c r="D16" i="20" l="1"/>
  <c r="D15" s="1"/>
  <c r="D14" s="1"/>
  <c r="D20" i="16"/>
  <c r="D19" s="1"/>
  <c r="C20"/>
  <c r="C19" s="1"/>
  <c r="D31"/>
  <c r="I100" i="18"/>
  <c r="I99" s="1"/>
  <c r="D16" i="16"/>
  <c r="D15" s="1"/>
  <c r="D50"/>
  <c r="D57"/>
  <c r="D63"/>
  <c r="D62" s="1"/>
  <c r="D66"/>
  <c r="D68"/>
  <c r="D70"/>
  <c r="C70"/>
  <c r="C68"/>
  <c r="C66"/>
  <c r="C63"/>
  <c r="C62" s="1"/>
  <c r="C57"/>
  <c r="C50"/>
  <c r="C31"/>
  <c r="C16"/>
  <c r="C15" s="1"/>
  <c r="C63" i="2"/>
  <c r="C24"/>
  <c r="C19"/>
  <c r="D18" i="16" l="1"/>
  <c r="C18"/>
  <c r="C18" i="2"/>
  <c r="C36" i="5" s="1"/>
  <c r="I98" i="18"/>
  <c r="I97" s="1"/>
  <c r="D39" i="16"/>
  <c r="D38" s="1"/>
  <c r="D37" s="1"/>
  <c r="C39"/>
  <c r="C38" s="1"/>
  <c r="C37" s="1"/>
  <c r="C61" i="2"/>
  <c r="C58"/>
  <c r="C57" s="1"/>
  <c r="C44"/>
  <c r="C51"/>
  <c r="C16"/>
  <c r="C15" s="1"/>
  <c r="C33" l="1"/>
  <c r="C32" s="1"/>
  <c r="D38" i="15"/>
  <c r="D14" i="16"/>
  <c r="D13" s="1"/>
  <c r="C38" i="15"/>
  <c r="C14" i="16"/>
  <c r="C13" s="1"/>
  <c r="M560" i="19" s="1"/>
  <c r="D37" i="15"/>
  <c r="C37"/>
  <c r="C35" i="5"/>
  <c r="C31" i="2" l="1"/>
  <c r="C14" s="1"/>
  <c r="N261" i="19"/>
  <c r="N263"/>
  <c r="N254"/>
  <c r="N253" s="1"/>
  <c r="N252" s="1"/>
  <c r="N251" s="1"/>
  <c r="N250" s="1"/>
  <c r="N244"/>
  <c r="N243" s="1"/>
  <c r="N242" s="1"/>
  <c r="N230"/>
  <c r="N226"/>
  <c r="N222"/>
  <c r="C37" i="5" l="1"/>
  <c r="C34" s="1"/>
  <c r="C33" s="1"/>
  <c r="N225" i="19"/>
  <c r="N224" s="1"/>
  <c r="N219"/>
  <c r="N218" s="1"/>
  <c r="N249"/>
  <c r="N580"/>
  <c r="E33" i="17" s="1"/>
  <c r="E31" s="1"/>
  <c r="D33"/>
  <c r="D31" s="1"/>
  <c r="H305" i="7"/>
  <c r="N260" i="19"/>
  <c r="N259" s="1"/>
  <c r="N258" s="1"/>
  <c r="N257" s="1"/>
  <c r="I130" i="18"/>
  <c r="I128" s="1"/>
  <c r="I123" s="1"/>
  <c r="N433" i="19"/>
  <c r="N427"/>
  <c r="N419"/>
  <c r="N418" s="1"/>
  <c r="N414"/>
  <c r="N413" s="1"/>
  <c r="N399"/>
  <c r="N424" l="1"/>
  <c r="N423" s="1"/>
  <c r="N398"/>
  <c r="N397" s="1"/>
  <c r="I122" i="18"/>
  <c r="I96" s="1"/>
  <c r="I420" s="1"/>
  <c r="N217" i="19"/>
  <c r="N216" s="1"/>
  <c r="N567" s="1"/>
  <c r="N256"/>
  <c r="N437"/>
  <c r="N432" s="1"/>
  <c r="N431" s="1"/>
  <c r="N430" s="1"/>
  <c r="N429" s="1"/>
  <c r="N593" s="1"/>
  <c r="E42" i="17" s="1"/>
  <c r="H151" i="7"/>
  <c r="H166"/>
  <c r="H164" s="1"/>
  <c r="D42" i="17"/>
  <c r="N412" i="19"/>
  <c r="N411" s="1"/>
  <c r="N410" s="1"/>
  <c r="N592" s="1"/>
  <c r="E41" i="17" s="1"/>
  <c r="D41" i="6"/>
  <c r="N396" i="19" l="1"/>
  <c r="N395" s="1"/>
  <c r="N586" s="1"/>
  <c r="E37" i="17" s="1"/>
  <c r="E23"/>
  <c r="D23"/>
  <c r="N215" i="19"/>
  <c r="N214" s="1"/>
  <c r="D31" i="6"/>
  <c r="D30" s="1"/>
  <c r="D36"/>
  <c r="D37" i="17"/>
  <c r="N409" i="19"/>
  <c r="N161"/>
  <c r="N160" s="1"/>
  <c r="N159" s="1"/>
  <c r="N158" s="1"/>
  <c r="N157" s="1"/>
  <c r="N156" s="1"/>
  <c r="N144"/>
  <c r="N143" s="1"/>
  <c r="N142" s="1"/>
  <c r="N141" s="1"/>
  <c r="N139"/>
  <c r="N132"/>
  <c r="N131" s="1"/>
  <c r="N130" s="1"/>
  <c r="N125" s="1"/>
  <c r="N122"/>
  <c r="N121" s="1"/>
  <c r="N120" s="1"/>
  <c r="N119" s="1"/>
  <c r="N118" s="1"/>
  <c r="N575" s="1"/>
  <c r="E29" i="17" s="1"/>
  <c r="D29"/>
  <c r="N116" i="19"/>
  <c r="N115" s="1"/>
  <c r="N113"/>
  <c r="N112" s="1"/>
  <c r="N104"/>
  <c r="N103" s="1"/>
  <c r="N102" s="1"/>
  <c r="D26" i="17"/>
  <c r="N91" i="19"/>
  <c r="N89"/>
  <c r="N87"/>
  <c r="N57"/>
  <c r="N52"/>
  <c r="N51" s="1"/>
  <c r="N50" s="1"/>
  <c r="N49" s="1"/>
  <c r="N48" s="1"/>
  <c r="N564" s="1"/>
  <c r="E20" i="17" s="1"/>
  <c r="D20"/>
  <c r="N46" i="19"/>
  <c r="N45" s="1"/>
  <c r="N43"/>
  <c r="N37"/>
  <c r="N35"/>
  <c r="N33"/>
  <c r="N29"/>
  <c r="N23"/>
  <c r="N22" s="1"/>
  <c r="N21" s="1"/>
  <c r="N20" s="1"/>
  <c r="N19" s="1"/>
  <c r="D18" i="17"/>
  <c r="D28" i="6"/>
  <c r="D19"/>
  <c r="D17"/>
  <c r="N394" i="19" l="1"/>
  <c r="N387" s="1"/>
  <c r="N136"/>
  <c r="N135" s="1"/>
  <c r="N134" s="1"/>
  <c r="N124" s="1"/>
  <c r="N576" s="1"/>
  <c r="E30" i="17" s="1"/>
  <c r="N94" i="19"/>
  <c r="N93" s="1"/>
  <c r="N571" s="1"/>
  <c r="E26" i="17" s="1"/>
  <c r="N562" i="19"/>
  <c r="E18" i="17" s="1"/>
  <c r="D22"/>
  <c r="N56" i="19"/>
  <c r="N55" s="1"/>
  <c r="N54" s="1"/>
  <c r="N566" s="1"/>
  <c r="E22" i="17" s="1"/>
  <c r="D21" i="6"/>
  <c r="D43"/>
  <c r="D27"/>
  <c r="D41" i="17"/>
  <c r="N596" i="19"/>
  <c r="E44" i="17" s="1"/>
  <c r="D44"/>
  <c r="H269" i="7"/>
  <c r="H414"/>
  <c r="N86" i="19"/>
  <c r="N85" s="1"/>
  <c r="N84" s="1"/>
  <c r="N83" s="1"/>
  <c r="D30" i="17"/>
  <c r="D28"/>
  <c r="N28" i="19"/>
  <c r="N27" s="1"/>
  <c r="N26" s="1"/>
  <c r="N25" s="1"/>
  <c r="N111"/>
  <c r="N110" s="1"/>
  <c r="N109" s="1"/>
  <c r="N574" s="1"/>
  <c r="E28" i="17" s="1"/>
  <c r="N18" i="19" l="1"/>
  <c r="D24" i="6"/>
  <c r="D52"/>
  <c r="D40"/>
  <c r="D25" i="17"/>
  <c r="N82" i="19"/>
  <c r="N570"/>
  <c r="E25" i="17" s="1"/>
  <c r="N563" i="19"/>
  <c r="E19" i="17" s="1"/>
  <c r="D19"/>
  <c r="N108" i="19"/>
  <c r="N17" l="1"/>
  <c r="N201"/>
  <c r="N200" s="1"/>
  <c r="N199" s="1"/>
  <c r="N198" s="1"/>
  <c r="N197" s="1"/>
  <c r="N183"/>
  <c r="N182" s="1"/>
  <c r="N181" s="1"/>
  <c r="N180" s="1"/>
  <c r="N179" s="1"/>
  <c r="N178" s="1"/>
  <c r="D29" i="6" l="1"/>
  <c r="D25"/>
  <c r="N196" i="19"/>
  <c r="N609"/>
  <c r="E54" i="17" s="1"/>
  <c r="D54"/>
  <c r="I396" i="18"/>
  <c r="N177" i="19" l="1"/>
  <c r="N207"/>
  <c r="N206" s="1"/>
  <c r="N205" s="1"/>
  <c r="N204" s="1"/>
  <c r="N477"/>
  <c r="N476" s="1"/>
  <c r="N475" s="1"/>
  <c r="N474" s="1"/>
  <c r="N473" s="1"/>
  <c r="D50" i="17"/>
  <c r="N459" i="19"/>
  <c r="N458" s="1"/>
  <c r="N455"/>
  <c r="N454" s="1"/>
  <c r="N453" s="1"/>
  <c r="N603" l="1"/>
  <c r="E50" i="17" s="1"/>
  <c r="N565" i="19"/>
  <c r="E21" i="17" s="1"/>
  <c r="D21"/>
  <c r="D48"/>
  <c r="N457" i="19"/>
  <c r="N452" s="1"/>
  <c r="N451" s="1"/>
  <c r="N450" l="1"/>
  <c r="N442" s="1"/>
  <c r="N601"/>
  <c r="E48" i="17" s="1"/>
  <c r="N509" i="19"/>
  <c r="N508" s="1"/>
  <c r="N507" s="1"/>
  <c r="N506" s="1"/>
  <c r="N505" s="1"/>
  <c r="N500"/>
  <c r="N499" s="1"/>
  <c r="N498" s="1"/>
  <c r="N497" s="1"/>
  <c r="D39" i="17" l="1"/>
  <c r="N589" i="19"/>
  <c r="E39" i="17" s="1"/>
  <c r="N496" i="19"/>
  <c r="N482" s="1"/>
  <c r="N549"/>
  <c r="N546"/>
  <c r="N536"/>
  <c r="N533"/>
  <c r="N530"/>
  <c r="N527"/>
  <c r="N520"/>
  <c r="N519" s="1"/>
  <c r="N518" s="1"/>
  <c r="N517" s="1"/>
  <c r="N516" s="1"/>
  <c r="N515" s="1"/>
  <c r="N588" l="1"/>
  <c r="E38" i="17" s="1"/>
  <c r="D38"/>
  <c r="N526" i="19"/>
  <c r="N525" s="1"/>
  <c r="N524" s="1"/>
  <c r="N523" s="1"/>
  <c r="D46" i="17"/>
  <c r="N542" i="19"/>
  <c r="N541" s="1"/>
  <c r="N540" s="1"/>
  <c r="N539" s="1"/>
  <c r="N598" l="1"/>
  <c r="E46" i="17" s="1"/>
  <c r="D45"/>
  <c r="D43" s="1"/>
  <c r="N597" i="19"/>
  <c r="E45" i="17" s="1"/>
  <c r="N522" i="19"/>
  <c r="N514" s="1"/>
  <c r="E43" i="17" l="1"/>
  <c r="D46" i="6"/>
  <c r="D50" l="1"/>
  <c r="D38" l="1"/>
  <c r="D49"/>
  <c r="D45"/>
  <c r="D42" s="1"/>
  <c r="D48" l="1"/>
  <c r="D22"/>
  <c r="D54" l="1"/>
  <c r="D53" s="1"/>
  <c r="D37"/>
  <c r="H193" i="18"/>
  <c r="H188" s="1"/>
  <c r="H60"/>
  <c r="H463" i="7"/>
  <c r="H462" s="1"/>
  <c r="H487"/>
  <c r="H486" s="1"/>
  <c r="H485" s="1"/>
  <c r="H484" s="1"/>
  <c r="D20" i="6" l="1"/>
  <c r="H386" i="18"/>
  <c r="H385" s="1"/>
  <c r="H258" i="7"/>
  <c r="H205"/>
  <c r="H376"/>
  <c r="H373" s="1"/>
  <c r="D51" i="6" l="1"/>
  <c r="D27" i="12" l="1"/>
  <c r="C27"/>
  <c r="D16"/>
  <c r="H350" i="7" l="1"/>
  <c r="H413" l="1"/>
  <c r="C16" i="20" l="1"/>
  <c r="H352" i="18" l="1"/>
  <c r="H432" i="7" l="1"/>
  <c r="C15" i="20" l="1"/>
  <c r="C14" s="1"/>
  <c r="H21" i="7" l="1"/>
  <c r="H81" l="1"/>
  <c r="H469" l="1"/>
  <c r="H468" s="1"/>
  <c r="C14" i="21" l="1"/>
  <c r="B14" l="1"/>
  <c r="H77" i="18" l="1"/>
  <c r="H364"/>
  <c r="H355" i="7" l="1"/>
  <c r="H352" s="1"/>
  <c r="H94"/>
  <c r="H93" s="1"/>
  <c r="H155" l="1"/>
  <c r="H154" s="1"/>
  <c r="D36" i="15" l="1"/>
  <c r="D35" s="1"/>
  <c r="D34" s="1"/>
  <c r="C36"/>
  <c r="C35" s="1"/>
  <c r="H444" i="7" l="1"/>
  <c r="H295" l="1"/>
  <c r="H294" s="1"/>
  <c r="N607" i="19" l="1"/>
  <c r="H114" i="7" l="1"/>
  <c r="H306" l="1"/>
  <c r="H322"/>
  <c r="H372" l="1"/>
  <c r="H371" s="1"/>
  <c r="I409" i="18" l="1"/>
  <c r="I408" s="1"/>
  <c r="H409"/>
  <c r="H408" s="1"/>
  <c r="H427" s="1"/>
  <c r="H358"/>
  <c r="H273"/>
  <c r="H275"/>
  <c r="H242"/>
  <c r="H237" s="1"/>
  <c r="H236" s="1"/>
  <c r="H215"/>
  <c r="I427" l="1"/>
  <c r="I14"/>
  <c r="H272"/>
  <c r="H146"/>
  <c r="H108"/>
  <c r="H165" l="1"/>
  <c r="H47"/>
  <c r="H39"/>
  <c r="H25"/>
  <c r="H23"/>
  <c r="H18"/>
  <c r="H405"/>
  <c r="H377"/>
  <c r="H356"/>
  <c r="H354"/>
  <c r="H345"/>
  <c r="H344" s="1"/>
  <c r="H315"/>
  <c r="H314" s="1"/>
  <c r="H313" s="1"/>
  <c r="H312" s="1"/>
  <c r="H309"/>
  <c r="H308" s="1"/>
  <c r="H306"/>
  <c r="H305" s="1"/>
  <c r="H284"/>
  <c r="H281"/>
  <c r="H278"/>
  <c r="H270"/>
  <c r="H267"/>
  <c r="H264"/>
  <c r="H261"/>
  <c r="H258"/>
  <c r="H220"/>
  <c r="H219" s="1"/>
  <c r="H214"/>
  <c r="H206"/>
  <c r="H205" s="1"/>
  <c r="H172"/>
  <c r="H171" s="1"/>
  <c r="H170" s="1"/>
  <c r="H151"/>
  <c r="H150" s="1"/>
  <c r="H145"/>
  <c r="H104"/>
  <c r="H103" s="1"/>
  <c r="H99"/>
  <c r="H98" s="1"/>
  <c r="H144" l="1"/>
  <c r="H136" s="1"/>
  <c r="H97"/>
  <c r="H213"/>
  <c r="H404"/>
  <c r="H403" s="1"/>
  <c r="H187"/>
  <c r="H186" s="1"/>
  <c r="H347"/>
  <c r="H343" s="1"/>
  <c r="H257"/>
  <c r="H55"/>
  <c r="H54" s="1"/>
  <c r="H53" s="1"/>
  <c r="H28"/>
  <c r="I424"/>
  <c r="H396"/>
  <c r="H123"/>
  <c r="H122" s="1"/>
  <c r="H164"/>
  <c r="H163" s="1"/>
  <c r="H43"/>
  <c r="H68"/>
  <c r="H20"/>
  <c r="H17" s="1"/>
  <c r="H304"/>
  <c r="H303" s="1"/>
  <c r="H229"/>
  <c r="H277"/>
  <c r="H27" l="1"/>
  <c r="H16" s="1"/>
  <c r="H424"/>
  <c r="H256"/>
  <c r="H255" s="1"/>
  <c r="H96"/>
  <c r="H212"/>
  <c r="H67"/>
  <c r="H66" s="1"/>
  <c r="H342"/>
  <c r="H15" l="1"/>
  <c r="H14" s="1"/>
  <c r="H420" l="1"/>
  <c r="H429" s="1"/>
  <c r="I429"/>
  <c r="H292" i="7"/>
  <c r="H291" s="1"/>
  <c r="I422" i="18" l="1"/>
  <c r="I428"/>
  <c r="I425"/>
  <c r="H428"/>
  <c r="H425"/>
  <c r="H422"/>
  <c r="N552" i="19" l="1"/>
  <c r="N15" s="1"/>
  <c r="L14" i="18" s="1"/>
  <c r="K14"/>
  <c r="D56" i="17" l="1"/>
  <c r="D55" s="1"/>
  <c r="C26" i="20"/>
  <c r="N612" i="19"/>
  <c r="E56" i="17" s="1"/>
  <c r="E55" s="1"/>
  <c r="D26" i="20"/>
  <c r="E53" i="17" l="1"/>
  <c r="N599" i="19" l="1"/>
  <c r="E27" i="17"/>
  <c r="N610" i="19"/>
  <c r="N572"/>
  <c r="E34" i="17"/>
  <c r="N582" i="19"/>
  <c r="N577" l="1"/>
  <c r="N594"/>
  <c r="N590"/>
  <c r="N604"/>
  <c r="E47" i="17"/>
  <c r="N568" i="19"/>
  <c r="E17" i="17"/>
  <c r="E40" l="1"/>
  <c r="D53"/>
  <c r="E24" l="1"/>
  <c r="D24"/>
  <c r="D34"/>
  <c r="D40"/>
  <c r="D47"/>
  <c r="D17"/>
  <c r="E15" l="1"/>
  <c r="H15" s="1"/>
  <c r="D27"/>
  <c r="D15" l="1"/>
  <c r="G15" s="1"/>
  <c r="D25" i="20"/>
  <c r="D24" s="1"/>
  <c r="D23" s="1"/>
  <c r="C25" l="1"/>
  <c r="C24" s="1"/>
  <c r="C23" s="1"/>
  <c r="D40" i="15" l="1"/>
  <c r="D22" i="20" l="1"/>
  <c r="D21" s="1"/>
  <c r="D20" s="1"/>
  <c r="D19" s="1"/>
  <c r="D18" s="1"/>
  <c r="D13" s="1"/>
  <c r="H528" i="7" l="1"/>
  <c r="H527" l="1"/>
  <c r="H526" s="1"/>
  <c r="H325"/>
  <c r="H324" s="1"/>
  <c r="H17" l="1"/>
  <c r="H308" l="1"/>
  <c r="H385" l="1"/>
  <c r="H252"/>
  <c r="H260"/>
  <c r="H257" s="1"/>
  <c r="H254"/>
  <c r="H455" l="1"/>
  <c r="H453"/>
  <c r="H447"/>
  <c r="H446" s="1"/>
  <c r="H438"/>
  <c r="H434"/>
  <c r="H452" l="1"/>
  <c r="H496"/>
  <c r="H491" s="1"/>
  <c r="H368"/>
  <c r="H367" s="1"/>
  <c r="H419" l="1"/>
  <c r="H418" s="1"/>
  <c r="H417" s="1"/>
  <c r="H416" s="1"/>
  <c r="H411"/>
  <c r="H410" s="1"/>
  <c r="H405"/>
  <c r="H404" s="1"/>
  <c r="H403" s="1"/>
  <c r="H401"/>
  <c r="H395"/>
  <c r="H394" s="1"/>
  <c r="H389"/>
  <c r="H347"/>
  <c r="H344"/>
  <c r="H341"/>
  <c r="H338"/>
  <c r="H337" l="1"/>
  <c r="H409"/>
  <c r="H408" s="1"/>
  <c r="H393"/>
  <c r="H361"/>
  <c r="H364"/>
  <c r="H358"/>
  <c r="H400"/>
  <c r="H399" s="1"/>
  <c r="H304"/>
  <c r="H303" s="1"/>
  <c r="H263"/>
  <c r="H191"/>
  <c r="H188"/>
  <c r="H302" l="1"/>
  <c r="H196"/>
  <c r="H195" s="1"/>
  <c r="H175"/>
  <c r="H231"/>
  <c r="H230" s="1"/>
  <c r="H229" s="1"/>
  <c r="H267"/>
  <c r="H266" s="1"/>
  <c r="H265" s="1"/>
  <c r="H171"/>
  <c r="H357"/>
  <c r="H336" s="1"/>
  <c r="H282"/>
  <c r="H281" s="1"/>
  <c r="H152"/>
  <c r="H150"/>
  <c r="H145"/>
  <c r="H144" s="1"/>
  <c r="H138"/>
  <c r="H137" s="1"/>
  <c r="H76"/>
  <c r="H75" s="1"/>
  <c r="H74" s="1"/>
  <c r="H62"/>
  <c r="H54"/>
  <c r="H43"/>
  <c r="H30"/>
  <c r="H28"/>
  <c r="H248"/>
  <c r="H170" l="1"/>
  <c r="H169" s="1"/>
  <c r="H163"/>
  <c r="H148"/>
  <c r="H147" s="1"/>
  <c r="H25"/>
  <c r="H16" s="1"/>
  <c r="H101"/>
  <c r="H136" l="1"/>
  <c r="H162"/>
  <c r="H135" l="1"/>
  <c r="H457"/>
  <c r="H314"/>
  <c r="H318"/>
  <c r="H313" l="1"/>
  <c r="H312" s="1"/>
  <c r="H301" s="1"/>
  <c r="H200"/>
  <c r="H194" s="1"/>
  <c r="H58" l="1"/>
  <c r="H105" l="1"/>
  <c r="H100" s="1"/>
  <c r="H99" l="1"/>
  <c r="D47" i="6"/>
  <c r="H436" i="7"/>
  <c r="H250"/>
  <c r="H247" s="1"/>
  <c r="H246" s="1"/>
  <c r="H428"/>
  <c r="D26" i="6" l="1"/>
  <c r="H490" i="7" l="1"/>
  <c r="H543" s="1"/>
  <c r="D23" i="6"/>
  <c r="H398" i="7"/>
  <c r="H392"/>
  <c r="H388"/>
  <c r="H384" s="1"/>
  <c r="H383" s="1"/>
  <c r="H287"/>
  <c r="H262"/>
  <c r="H222"/>
  <c r="H221" s="1"/>
  <c r="H190"/>
  <c r="H187"/>
  <c r="H286" l="1"/>
  <c r="H280" s="1"/>
  <c r="H335"/>
  <c r="H256"/>
  <c r="H245" s="1"/>
  <c r="H186"/>
  <c r="H185" s="1"/>
  <c r="H279" l="1"/>
  <c r="H220" l="1"/>
  <c r="D39" i="6" l="1"/>
  <c r="C34" i="15" l="1"/>
  <c r="C40" s="1"/>
  <c r="C22" i="20" s="1"/>
  <c r="C21" l="1"/>
  <c r="C20" s="1"/>
  <c r="C19" s="1"/>
  <c r="H425" i="7"/>
  <c r="H424" s="1"/>
  <c r="C18" i="20" l="1"/>
  <c r="C13" s="1"/>
  <c r="N560" i="19" l="1"/>
  <c r="C13" i="2" l="1"/>
  <c r="C40" i="5" l="1"/>
  <c r="C22" i="8" s="1"/>
  <c r="C21" s="1"/>
  <c r="C20" s="1"/>
  <c r="C19" s="1"/>
  <c r="H442" i="7"/>
  <c r="H441" l="1"/>
  <c r="D18" i="6"/>
  <c r="D16" s="1"/>
  <c r="H427" i="7" l="1"/>
  <c r="H423" s="1"/>
  <c r="H422" l="1"/>
  <c r="H50"/>
  <c r="H46" s="1"/>
  <c r="H34" s="1"/>
  <c r="H15" l="1"/>
  <c r="H14" s="1"/>
  <c r="H13" s="1"/>
  <c r="D35" i="6" l="1"/>
  <c r="D33" s="1"/>
  <c r="D14" s="1"/>
  <c r="C25" i="8"/>
  <c r="C24" s="1"/>
  <c r="C23" s="1"/>
  <c r="C18" s="1"/>
  <c r="C13" s="1"/>
  <c r="H539" i="7"/>
  <c r="H545" s="1"/>
  <c r="H544" s="1"/>
  <c r="H541" l="1"/>
  <c r="J13"/>
</calcChain>
</file>

<file path=xl/sharedStrings.xml><?xml version="1.0" encoding="utf-8"?>
<sst xmlns="http://schemas.openxmlformats.org/spreadsheetml/2006/main" count="15774" uniqueCount="1018">
  <si>
    <t>Код бюджетной классификации Российской Федерации</t>
  </si>
  <si>
    <t>Администрация муниципального образования Апшеронский район</t>
  </si>
  <si>
    <t>Невыясненные поступления, зачисляемые в бюджеты муниципальных районов</t>
  </si>
  <si>
    <t>902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</si>
  <si>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</si>
  <si>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</si>
  <si>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01 02 00 00 05 0000 810</t>
  </si>
  <si>
    <t>Погашение  бюджетами муниципальных районов кредитов от кредитных организаций в валюте Российской Федерации</t>
  </si>
  <si>
    <t>01 03 01 00 05 0000 710</t>
  </si>
  <si>
    <t>01 03 01 00 05 0000 810</t>
  </si>
  <si>
    <t>Финансовое управление администрации муниципального образования Апшеронский район</t>
  </si>
  <si>
    <t>Дотации бюджетам муниципальных районов на поддержку мер по обеспечению сбалансированности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</si>
  <si>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</si>
  <si>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</si>
  <si>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</si>
  <si>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</si>
  <si>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</si>
  <si>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Управление имущественных отношений администрации муниципального образования Апшеронский район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</si>
  <si>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</si>
  <si>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</si>
  <si>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</si>
  <si>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</si>
  <si>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</si>
  <si>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Управление образования администрации муниципального образования Апшеронский район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</si>
  <si>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</si>
  <si>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Отдел культуры администрации муниципального образования Апшеронский район</t>
  </si>
  <si>
    <t>Отдел по физической культуре и спорту администрации муниципального образования Апшеронский район</t>
  </si>
  <si>
    <t>Отдел по делам молодежи администрации муниципального образования Апшеронский район</t>
  </si>
  <si>
    <t>Отдел по вопросам семьи и детства администрации муниципального образования Апшеронский район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</si>
  <si>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</si>
  <si>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доходы от оказания платных услуг (работ) получателями средств бюджетов муниципальных районов</t>
  </si>
  <si>
    <t>Код</t>
  </si>
  <si>
    <t>Наименование дохода</t>
  </si>
  <si>
    <t>Сумма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</si>
  <si>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</si>
  <si>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</si>
  <si>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</si>
  <si>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</si>
  <si>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</si>
  <si>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Федерации, в том числе: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</si>
  <si>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</si>
  <si>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</si>
  <si>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(тыс. рублей)</t>
  </si>
  <si>
    <t>№ п\п</t>
  </si>
  <si>
    <t>Наименование</t>
  </si>
  <si>
    <t>Вед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</si>
  <si>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</si>
  <si>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</si>
  <si>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</si>
  <si>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</si>
  <si>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</si>
  <si>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</si>
  <si>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</si>
  <si>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</si>
  <si>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</si>
  <si>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Контрольно-счетная палата муниципального образования Апшеронский район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</si>
  <si>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</si>
  <si>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</si>
  <si>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</si>
  <si>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</si>
  <si>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муниципального образования Апшеронский район "Организация муниципального управления"</t>
  </si>
  <si>
    <t>17</t>
  </si>
  <si>
    <t>0</t>
  </si>
  <si>
    <t>00</t>
  </si>
  <si>
    <t>00000</t>
  </si>
  <si>
    <t>1</t>
  </si>
  <si>
    <t xml:space="preserve">Обеспечение деятельности высшего должностного лица муниципального образования </t>
  </si>
  <si>
    <t>Расходы на обеспечение функций органов местного самоуправления</t>
  </si>
  <si>
    <t>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</si>
  <si>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</si>
  <si>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</si>
  <si>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</si>
  <si>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</si>
  <si>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муниципального образования  Апшеронский район "Организация муниципального управления"</t>
  </si>
  <si>
    <t>Обеспечение деятельности администрации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</si>
  <si>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</si>
  <si>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</si>
  <si>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</si>
  <si>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</si>
  <si>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</si>
  <si>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</si>
  <si>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</si>
  <si>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60910</t>
  </si>
  <si>
    <t>Развитие муниципального управления</t>
  </si>
  <si>
    <t>03</t>
  </si>
  <si>
    <t>Административная реформа</t>
  </si>
  <si>
    <t>05</t>
  </si>
  <si>
    <t>Резервные фонды</t>
  </si>
  <si>
    <t>11</t>
  </si>
  <si>
    <t>99</t>
  </si>
  <si>
    <t>90010</t>
  </si>
  <si>
    <t>Другие общегосударственные вопросы</t>
  </si>
  <si>
    <t>13</t>
  </si>
  <si>
    <t>Муниципальная программа муниципального образования Апшеронский район "Поддержка социально ориентированных некоммерческих организаций"</t>
  </si>
  <si>
    <t>15</t>
  </si>
  <si>
    <t>Субсидии на поддержку социально ориентированных некоммерческих организаций</t>
  </si>
  <si>
    <t>11600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</si>
  <si>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</si>
  <si>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</si>
  <si>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</si>
  <si>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09</t>
  </si>
  <si>
    <t>Муниципальная программа муниципального образования Апшеронский район "Обеспечение безопасности населения"</t>
  </si>
  <si>
    <t>06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</si>
  <si>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</si>
  <si>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</si>
  <si>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10600</t>
  </si>
  <si>
    <t>Реализация мероприятий муниципальной программы "Обеспечение безопасности населения"</t>
  </si>
  <si>
    <t>10660</t>
  </si>
  <si>
    <t>Другие вопросы в области национальной безопасности и правоохранительной деятельности</t>
  </si>
  <si>
    <t>14</t>
  </si>
  <si>
    <t>2</t>
  </si>
  <si>
    <t>10610</t>
  </si>
  <si>
    <t>00590</t>
  </si>
  <si>
    <t>Национальная экономика</t>
  </si>
  <si>
    <t>Сельское хозяйство и рыболовство</t>
  </si>
  <si>
    <t xml:space="preserve">Муниципальная программа муниципального образования  Апшеронский район "Развитие сельского хозяйства" </t>
  </si>
  <si>
    <t>Развитие малых форм хозяйствования в АПК в муниципальном образовании Апшеронский район</t>
  </si>
  <si>
    <t>Обеспечение эпизоотического, ветеринарно-санитарного благополучия в муниципальном образовании Апшеронский район</t>
  </si>
  <si>
    <t>61650</t>
  </si>
  <si>
    <t>Дорожное хозяйство (дорожные фонды)</t>
  </si>
  <si>
    <t>Муниципальная программа муниципального образования Апшеронский район "Поддержка дорожного хозяйства"</t>
  </si>
  <si>
    <t>12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</si>
  <si>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</si>
  <si>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</si>
  <si>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11300</t>
  </si>
  <si>
    <t>10</t>
  </si>
  <si>
    <t>11820</t>
  </si>
  <si>
    <t>Другие вопросы в области национальной экономики</t>
  </si>
  <si>
    <t>Муниципальная программа муниципального образования Апшеронский район "Экономическое развитие муниципального образования"</t>
  </si>
  <si>
    <t>Развитие малого и среднего предпринимательства в муниципальном образовании</t>
  </si>
  <si>
    <t>Финансовая поддержка субъектов малого и среднего предпринимательства</t>
  </si>
  <si>
    <t>Развитие и поддержка малого и среднего предпринимательства</t>
  </si>
  <si>
    <t>11400</t>
  </si>
  <si>
    <t>Инвестиционное развитие муниципального образования</t>
  </si>
  <si>
    <t>Создание условий для инвестиционного развития муниципального образования Апшеронский район</t>
  </si>
  <si>
    <t>Формирование и продвижение экономически и инвестиционно привлекательного образа муниципального образования Апшеронский район за его пределами</t>
  </si>
  <si>
    <t>11410</t>
  </si>
  <si>
    <t>Муниципальная программа муниципального образования Апшеронский район "Развитие санаторно-курортного и туристского комплекса"</t>
  </si>
  <si>
    <t xml:space="preserve">Реализация мероприятий муниципальной программы "Развитие санаторно-курортного и туристского комплекса" </t>
  </si>
  <si>
    <t>11500</t>
  </si>
  <si>
    <t>Социальная политика</t>
  </si>
  <si>
    <t>Социальное обеспечение и иные выплаты населению</t>
  </si>
  <si>
    <t>300</t>
  </si>
  <si>
    <t>Другие  вопросы в области социальной политики</t>
  </si>
  <si>
    <t>Межбюджетные трансферты</t>
  </si>
  <si>
    <t>500</t>
  </si>
  <si>
    <t>Профилактика терроризма и экстремизма в муниципальном образовании</t>
  </si>
  <si>
    <t>Организация физической охраны в здании администрации муниципального образования Апшеронский район</t>
  </si>
  <si>
    <t>Мероприятия по профилактике терроризма и экстремизма</t>
  </si>
  <si>
    <t>Наименование поселений</t>
  </si>
  <si>
    <t>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</si>
  <si>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</si>
  <si>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 муниципального образования</t>
  </si>
  <si>
    <t>51</t>
  </si>
  <si>
    <t>Контрольно-счетная палата муниципального образования</t>
  </si>
  <si>
    <t>20010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</si>
  <si>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</si>
  <si>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</si>
  <si>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</si>
  <si>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</si>
  <si>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</si>
  <si>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</si>
  <si>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03 02230 01 0000 110
1 03 02240 01 0000 110
1 03 02250 01 0000 110
1 03 02260 01 0000 110</t>
  </si>
  <si>
    <t>1 05 02000 02 0000 110</t>
  </si>
  <si>
    <t>1 05 03000 01 0000 110</t>
  </si>
  <si>
    <t>Единый сельскохозяйственный налог*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</si>
  <si>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</si>
  <si>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</si>
  <si>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</si>
  <si>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пошлина*</t>
  </si>
  <si>
    <t>1 11 01050 05 0000 120</t>
  </si>
  <si>
    <t>1 11 05010 00 0000 120</t>
  </si>
  <si>
    <t>1 11 07015 05 0000 120</t>
  </si>
  <si>
    <t>1 12 01000 01 0000 120</t>
  </si>
  <si>
    <t>Плата за негативное воздействие на окружающую среду*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</si>
  <si>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</si>
  <si>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</si>
  <si>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</si>
  <si>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</si>
  <si>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Иные межбюджетные трансферты*</t>
  </si>
  <si>
    <t>Всего доходов</t>
  </si>
  <si>
    <t>Распределение бюджетных ассигнований по разделам и подразделам</t>
  </si>
  <si>
    <t>№ п/п</t>
  </si>
  <si>
    <t>Всего расходов</t>
  </si>
  <si>
    <t>в том числе:</t>
  </si>
  <si>
    <t>0100</t>
  </si>
  <si>
    <t>0102</t>
  </si>
  <si>
    <t xml:space="preserve">Функционирование высшего должностного лица субъекта Российской Федерации и муниципального образования   </t>
  </si>
  <si>
    <t>0104</t>
  </si>
  <si>
    <t>0106</t>
  </si>
  <si>
    <t>0111</t>
  </si>
  <si>
    <t>0113</t>
  </si>
  <si>
    <t>0300</t>
  </si>
  <si>
    <t>0314</t>
  </si>
  <si>
    <t>0400</t>
  </si>
  <si>
    <t>0405</t>
  </si>
  <si>
    <t>0409</t>
  </si>
  <si>
    <t>0412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</si>
  <si>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</si>
  <si>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</si>
  <si>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</si>
  <si>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</si>
  <si>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</si>
  <si>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</si>
  <si>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</si>
  <si>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</si>
  <si>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</si>
  <si>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</si>
  <si>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</si>
  <si>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</si>
  <si>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</si>
  <si>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</si>
  <si>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</si>
  <si>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</si>
  <si>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</si>
  <si>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Охрана семьи и детства</t>
  </si>
  <si>
    <t>Другие вопросы в области социальной политики</t>
  </si>
  <si>
    <t xml:space="preserve">Физическая культура и спорт </t>
  </si>
  <si>
    <t>1102</t>
  </si>
  <si>
    <t>Массовый спорт</t>
  </si>
  <si>
    <t>1105</t>
  </si>
  <si>
    <t>Другие вопросы в области физической культуры и спорта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</si>
  <si>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</si>
  <si>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</si>
  <si>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</si>
  <si>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Капитальные вложения в объекты государственной (муниципальной) собственности</t>
  </si>
  <si>
    <t>400</t>
  </si>
  <si>
    <t>Муниципальная программа муниципального образования Апшеронский район "Развитие образования"</t>
  </si>
  <si>
    <t>Развитие дошкольного и общего образования детей</t>
  </si>
  <si>
    <t>Мероприятия по повышению уровня безопасности  муниципальных образовательных учреждений</t>
  </si>
  <si>
    <t>Реализация мероприятий муниципальной программы "Развитие образования"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</si>
  <si>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</si>
  <si>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Развитие дополнительного образования детей</t>
  </si>
  <si>
    <t>Стипендии главы муниципального образования Апшеронский район для одаренных детей</t>
  </si>
  <si>
    <t>Обеспечение реализации муниципальной программы и прочие мероприятия в области образования</t>
  </si>
  <si>
    <t>Муниципальная программа муниципального образования Апшеронский район "Развитие культуры"</t>
  </si>
  <si>
    <t>Совершенствование деятельности муниципальных учреждений отрасли "Культура и искусство" по предоставлению муниципальных услуг</t>
  </si>
  <si>
    <t>Организация библиотечного обслуживания населения, комплектование библиотечных фондов библиотек поселения</t>
  </si>
  <si>
    <t>Обеспечение реализации муниципальной программы и прочие мероприятия в сфере культуры и искусства</t>
  </si>
  <si>
    <t>Муниципальная программа муниципального образования Апшеронский район "Развитие физической культуры и спорта"</t>
  </si>
  <si>
    <t>Развитие физической культуры и массового спорта</t>
  </si>
  <si>
    <t>Реализация мероприятий муниципальной программы "Развитие физической культуры и спорта"</t>
  </si>
  <si>
    <t>Управление реализацией муниципальной программы</t>
  </si>
  <si>
    <t>Муниципальная программа муниципального образования Апшеронский район "Развитие молодежной политики"</t>
  </si>
  <si>
    <t>Молодежь Апшеронского района</t>
  </si>
  <si>
    <t>Муниципальная программа муниципального образования Апшеронский район "Управление муниципальными финансами"</t>
  </si>
  <si>
    <t>07</t>
  </si>
  <si>
    <t>Муниципальная программа муниципального образования Апшеронский район "Управление муниципальным имуществом"</t>
  </si>
  <si>
    <t>08</t>
  </si>
  <si>
    <t>Повышение эффективности управления муниципальным имуществом и приватизации</t>
  </si>
  <si>
    <t>Оценка недвижимости, признание прав и регулирование отношений по муниципальной собственности</t>
  </si>
  <si>
    <t>Управление реализацией муниципальной программы и прочие мероприятия</t>
  </si>
  <si>
    <t xml:space="preserve">Муниципальная программа муниципального образования Апшеронский район "Социальная поддержка граждан" 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</si>
  <si>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</si>
  <si>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</si>
  <si>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программа муниципального образования Апшеронский район "Доступная среда"</t>
  </si>
  <si>
    <t>20</t>
  </si>
  <si>
    <t>Реализация мероприятий муниципальной программы "Доступная среда"</t>
  </si>
  <si>
    <t>Осуществление внешнего муниципального финансового контроля</t>
  </si>
  <si>
    <t>программы</t>
  </si>
  <si>
    <t>непрограммные</t>
  </si>
  <si>
    <t>(тыс.рублей)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</si>
  <si>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</si>
  <si>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</si>
  <si>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</si>
  <si>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</si>
  <si>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</si>
  <si>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</si>
  <si>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</si>
  <si>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</si>
  <si>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</si>
  <si>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</si>
  <si>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</si>
  <si>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</si>
  <si>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</si>
  <si>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</si>
  <si>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</si>
  <si>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</si>
  <si>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</si>
  <si>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 xml:space="preserve"> (тыс.рублей)</t>
  </si>
  <si>
    <t>№                п/п</t>
  </si>
  <si>
    <t>1.</t>
  </si>
  <si>
    <t>Кабардинское сельское поселение</t>
  </si>
  <si>
    <t>Кубанское сельское поселение</t>
  </si>
  <si>
    <t>Куринское сельское поселение</t>
  </si>
  <si>
    <t>Нижегородское сельское поселение</t>
  </si>
  <si>
    <t>Новополянское сельское поселение</t>
  </si>
  <si>
    <t>Отдаленное сельское поселение</t>
  </si>
  <si>
    <t>Тверское сельское поселение</t>
  </si>
  <si>
    <t>Черниговское сельское поселение</t>
  </si>
  <si>
    <t>Объем</t>
  </si>
  <si>
    <t>погашение основной суммы долга</t>
  </si>
  <si>
    <t xml:space="preserve">Программа муниципальных гарантий муниципального образования Апшеронский район  </t>
  </si>
  <si>
    <t>Объем гарантий,  тыс.рублей</t>
  </si>
  <si>
    <t>иные условия</t>
  </si>
  <si>
    <t xml:space="preserve"> -</t>
  </si>
  <si>
    <t>Бюджетные ассигнования на исполнение муниципальных гарантий муниципального образования Апшеронский район по возможным гарантийным случаям</t>
  </si>
  <si>
    <t>Наименование межбюджетных трансфертов</t>
  </si>
  <si>
    <t>Дотации на выравнивание бюджетной обеспеченности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</si>
  <si>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</si>
  <si>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из них:</t>
  </si>
  <si>
    <t xml:space="preserve"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</t>
  </si>
  <si>
    <t>муниципальные дошкольные образовательные организации</t>
  </si>
  <si>
    <t>муниципальные общеобразовательные организации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</si>
  <si>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</si>
  <si>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60070</t>
  </si>
  <si>
    <t>Оказание финансовой поддержки социально ориентированным некоммерческим организациям</t>
  </si>
  <si>
    <t>Содействие развитию дошкольного образования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</si>
  <si>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</si>
  <si>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60820</t>
  </si>
  <si>
    <t>60860</t>
  </si>
  <si>
    <t>Обеспечение мероприятий по противодействию терроризму и экстремизму</t>
  </si>
  <si>
    <t>Содействие развитию общего образования</t>
  </si>
  <si>
    <t>10200</t>
  </si>
  <si>
    <t>10210</t>
  </si>
  <si>
    <t>62370</t>
  </si>
  <si>
    <t>Содействие развитию дополнительного образования детей</t>
  </si>
  <si>
    <t>Выявление и поддержка одаренных детей</t>
  </si>
  <si>
    <t xml:space="preserve">Стипендии главы муниципального образования Апшеронский район для одаренных детей </t>
  </si>
  <si>
    <t>00300</t>
  </si>
  <si>
    <t>12100</t>
  </si>
  <si>
    <t>Создание условий для полноценного и безопасного отдыха детей в каникулярное время</t>
  </si>
  <si>
    <t>Совершенствование управления реализацией Программы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</si>
  <si>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образовательную программу дошкольного образования</t>
  </si>
  <si>
    <t>60710</t>
  </si>
  <si>
    <t>Совершенствование социальной поддержки семьи и детей</t>
  </si>
  <si>
    <t>Создание условий для формирования доступной среды жизнедеятельности для инвалидов и других маломобильных групп населения</t>
  </si>
  <si>
    <t>934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</si>
  <si>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</si>
  <si>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 xml:space="preserve">Реализация мероприятий муниципальной программы "Развитие молодежной политики" </t>
  </si>
  <si>
    <t>10500</t>
  </si>
  <si>
    <t>929</t>
  </si>
  <si>
    <t>Формирование здорового образа жизни и гармоничное воспитание здорового,  физически крепкого поколения</t>
  </si>
  <si>
    <t>10400</t>
  </si>
  <si>
    <t xml:space="preserve">Массовый спорт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</si>
  <si>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</si>
  <si>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</si>
  <si>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числе:</t>
  </si>
  <si>
    <t>953</t>
  </si>
  <si>
    <t>Муниципальная программа муниципального образования Апшеронский район "Социальная поддержка граждан"</t>
  </si>
  <si>
    <t>60840</t>
  </si>
  <si>
    <t>60670</t>
  </si>
  <si>
    <t>60680</t>
  </si>
  <si>
    <t>60720</t>
  </si>
  <si>
    <t>60730</t>
  </si>
  <si>
    <t>Другие вопросы в области социальной политики</t>
  </si>
  <si>
    <t>60880</t>
  </si>
  <si>
    <t>60900</t>
  </si>
  <si>
    <t>62340</t>
  </si>
  <si>
    <t>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</t>
  </si>
  <si>
    <t>10800</t>
  </si>
  <si>
    <t>Повышение эффективности осуществления закупок товаров, работ, услуг для муниципальных нужд и нужд бюджетных учреждений муниципального образования</t>
  </si>
  <si>
    <t>Государственная поддержка решения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</si>
  <si>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Создание условий для эффективного управления в сфере развития системы управления муниципальным имуществом, находящимся в муниципальной собственности</t>
  </si>
  <si>
    <t>905</t>
  </si>
  <si>
    <t>Создание условий для эффективного и ответственного управления муниципальными финансами</t>
  </si>
  <si>
    <t xml:space="preserve">Выравнивание финансовых возможностей бюджетов </t>
  </si>
  <si>
    <t>Прочие субсидии</t>
  </si>
  <si>
    <t xml:space="preserve">Прочие субсидии бюджетам муниципальных районов, в том числе: </t>
  </si>
  <si>
    <t>Субсидии бюджетам бюджетной системы Российской Федерации (межбюджетные субсидии)*</t>
  </si>
  <si>
    <t>Создание условий для развития санаторно-курортного и туристского комплекса муниципального образования Апшеронский район</t>
  </si>
  <si>
    <t>01 02 00 00 05 0000 710</t>
  </si>
  <si>
    <t>1 11 05075 05 0000 120</t>
  </si>
  <si>
    <t xml:space="preserve">* В том числе по видам и подвидам доходов.  </t>
  </si>
  <si>
    <t xml:space="preserve">Наименование </t>
  </si>
  <si>
    <t>1 05 01000 00 0000 110</t>
  </si>
  <si>
    <t>Налог, взимаемый в связи с применением упрощенной системы налогообложения*</t>
  </si>
  <si>
    <t>Безвозмездные поступления</t>
  </si>
  <si>
    <t xml:space="preserve">* По видам и подвидам доходов, входящим в соответствующий группировочный код бюджетной классификации, зачисляемым в районный бюджет в соответствии с законодательством Российской Федерации.   </t>
  </si>
  <si>
    <t>Всего</t>
  </si>
  <si>
    <t xml:space="preserve">Апшеронское городское поселение </t>
  </si>
  <si>
    <t xml:space="preserve">Нефтегорское городское поселение </t>
  </si>
  <si>
    <t>Хадыженское городское поселение</t>
  </si>
  <si>
    <t xml:space="preserve">Кабардинское сельское поселение </t>
  </si>
  <si>
    <t xml:space="preserve">Куринское сельское поселение </t>
  </si>
  <si>
    <t>Мезмайское сельское поселение</t>
  </si>
  <si>
    <t xml:space="preserve">                                Приложение № 2 к решению Совета муниципального образования</t>
  </si>
  <si>
    <t>926</t>
  </si>
  <si>
    <t>Реализация мероприятий муниципальной программы  "Развитие культуры"</t>
  </si>
  <si>
    <t>10300</t>
  </si>
  <si>
    <t>Содействие развитию библиотечного дела</t>
  </si>
  <si>
    <t>20020</t>
  </si>
  <si>
    <t>Содействие развитию культурно-досуговых организаций</t>
  </si>
  <si>
    <t>Организация, проведение и участие в конкурсах, фестивалях, концертах, выставках, приемах, конференциях, форумах, акциях, праздниках, семинарах, экспедициях в рамках их организации и поддержки</t>
  </si>
  <si>
    <t xml:space="preserve">Другие вопросы в области культуры, кинематографии </t>
  </si>
  <si>
    <t>Физическая культура и спорт</t>
  </si>
  <si>
    <t>Обеспечение деятельности  муниципального казенного учреждения "Ситуационный центр "Комплексное обеспечение безопасности жизнедеятельности"</t>
  </si>
  <si>
    <t>Осуществление части полномочий по решению вопросов местного значения в соответствии с заключенными соглашениями</t>
  </si>
  <si>
    <t>Рз,Пр</t>
  </si>
  <si>
    <t>000 01 05 02 01 00 0000 510</t>
  </si>
  <si>
    <t>Сохранение и развитие традиционной народной культуры муниципального образования</t>
  </si>
  <si>
    <t xml:space="preserve">Сохранение и развитие традиционной народной культуры муниципального образования </t>
  </si>
  <si>
    <t>Единый налог на вмененный доход для отдельных видов деятельности</t>
  </si>
  <si>
    <t>10670</t>
  </si>
  <si>
    <t>10690</t>
  </si>
  <si>
    <t>10680</t>
  </si>
  <si>
    <t>Реализация полномочий в области строительства, архитектуры и градостроительства</t>
  </si>
  <si>
    <t xml:space="preserve"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 </t>
  </si>
  <si>
    <t>Коммунальное хозяйство</t>
  </si>
  <si>
    <t>Газификация населенных пунктов поселений муниципального образования Апшеронский район</t>
  </si>
  <si>
    <t>0502</t>
  </si>
  <si>
    <t>10820</t>
  </si>
  <si>
    <t>Выполнение других обязательств муниципального образования</t>
  </si>
  <si>
    <t>Содержание имущества, находящегося в муниципальной казне</t>
  </si>
  <si>
    <t>Основные мероприятия муниципальной программы</t>
  </si>
  <si>
    <t>Иные межбюджетные трансферты на организацию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</si>
  <si>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>Иные межбюджетные трансферты на реализацию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</si>
  <si>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 на реализацию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</si>
  <si>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                                Приложение № 1 к решению Совета муниципального образования</t>
  </si>
  <si>
    <t xml:space="preserve">                                Приложение № 3 к решению Совета муниципального образования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</si>
  <si>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</si>
  <si>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</si>
  <si>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</si>
  <si>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Федерации* 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</si>
  <si>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</si>
  <si>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</si>
  <si>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62500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</si>
  <si>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</si>
  <si>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01 06 05 02 05 0000 540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</si>
  <si>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</si>
  <si>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</si>
  <si>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</si>
  <si>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</si>
  <si>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0703</t>
  </si>
  <si>
    <t>Дополнительное образование детей</t>
  </si>
  <si>
    <t xml:space="preserve">Молодежная политика </t>
  </si>
  <si>
    <t>Приложение № 17 к решению Совета муниципального образования</t>
  </si>
  <si>
    <t>Приложение № 18 к решению Совета муниципального образования</t>
  </si>
  <si>
    <t>Информатизация деятельности органов местного самоуправления</t>
  </si>
  <si>
    <t>Мероприятия по информатизации администрации муниципального образования, ее отраслевых (функциональных) органов</t>
  </si>
  <si>
    <t>11840</t>
  </si>
  <si>
    <t>Обеспечение информационной открытости и доступности информации о деятельности органов местного самоуправления</t>
  </si>
  <si>
    <t>Пенсионное обеспечение</t>
  </si>
  <si>
    <t>11850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</si>
  <si>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</si>
  <si>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 xml:space="preserve"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 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</si>
  <si>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</si>
  <si>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субвенции на 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</si>
  <si>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 xml:space="preserve"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 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</si>
  <si>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</si>
  <si>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</si>
  <si>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</si>
  <si>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</si>
  <si>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Физическая культура</t>
  </si>
  <si>
    <t>Содействие развитию спортивных организаций</t>
  </si>
  <si>
    <t>Условно утвержденные расходы</t>
  </si>
  <si>
    <t>% УУР</t>
  </si>
  <si>
    <t>УУР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</si>
  <si>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</si>
  <si>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Вид заимствований</t>
  </si>
  <si>
    <t xml:space="preserve">  Направление (цель)       гарантирова-ния</t>
  </si>
  <si>
    <t>аппарат соцсферы</t>
  </si>
  <si>
    <t>соцкультсфера (без аппарата)</t>
  </si>
  <si>
    <t>Система комплексного обеспечения безопасности жизнедеятельности муниципального образования. Построение и развитие АПК "Безопасный город"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</si>
  <si>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</si>
  <si>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</si>
  <si>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</si>
  <si>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</si>
  <si>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10810</t>
  </si>
  <si>
    <t>Мероприятия по землеустройству и землепользованию</t>
  </si>
  <si>
    <t>Обеспечение строительства газопроводов на территории муниципального образования Апшеронский район</t>
  </si>
  <si>
    <t xml:space="preserve">                                Приложение № 5 к решению Совета муниципального образования</t>
  </si>
  <si>
    <t>20030</t>
  </si>
  <si>
    <t>Осуществление части полномочий по исполнению бюджета поселения</t>
  </si>
  <si>
    <t>Прочие обязательства муниципального образования</t>
  </si>
  <si>
    <t>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</si>
  <si>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</si>
  <si>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Начальник Финансового управления</t>
  </si>
  <si>
    <t xml:space="preserve">администрации муниципального образования </t>
  </si>
  <si>
    <t>Апшеронский район</t>
  </si>
  <si>
    <t xml:space="preserve">                                Приложение № 6 к решению Совета муниципального образования</t>
  </si>
  <si>
    <t>РУО</t>
  </si>
  <si>
    <t>Обеспечение своевременности и полноты исполнения долговых обязательств муниципального образования</t>
  </si>
  <si>
    <t>Процентные платежи по муниципальному долгу</t>
  </si>
  <si>
    <t>11810</t>
  </si>
  <si>
    <t>Обслуживание государственного (муниципального) долга</t>
  </si>
  <si>
    <t>700</t>
  </si>
  <si>
    <t>11880</t>
  </si>
  <si>
    <t>Материально-техническое обеспечение деятельности органов местного самоуправления муниципального образования</t>
  </si>
  <si>
    <t>09020</t>
  </si>
  <si>
    <t>000 01 03 00 00 00 0000 000</t>
  </si>
  <si>
    <t>000 01 03 01 00 00 0000 000</t>
  </si>
  <si>
    <t>000 01 03 01 00 00 0000 800</t>
  </si>
  <si>
    <t>000 01 03 01 00 05 0000 810</t>
  </si>
  <si>
    <t>1300</t>
  </si>
  <si>
    <t>1301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</si>
  <si>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</si>
  <si>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</si>
  <si>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Судебная система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</si>
  <si>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</si>
  <si>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</si>
  <si>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</si>
  <si>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1 13 00000 00 0000 000</t>
  </si>
  <si>
    <t xml:space="preserve">                                Приложение № 13 к решению Совета муниципального образования</t>
  </si>
  <si>
    <t>О.В.Чуйко</t>
  </si>
  <si>
    <t>0105</t>
  </si>
  <si>
    <t>S0570</t>
  </si>
  <si>
    <t>Реализация мероприятий государственной программы Краснодарского края "Развитие санаторно-курортного и туристского комплекса"</t>
  </si>
  <si>
    <t>Нормативы распределения доходов между районным бюджетом</t>
  </si>
  <si>
    <t>и бюджетами городских и сельских поселений Апшеронского района</t>
  </si>
  <si>
    <t>Районный бюджет</t>
  </si>
  <si>
    <t>Бюджеты городских поселений</t>
  </si>
  <si>
    <t>Бюджеты сельских поселений</t>
  </si>
  <si>
    <t>Доходы от погашения задолженности и перерасчетов по отмененным налогам, сборам и иным обязательным платежам</t>
  </si>
  <si>
    <t>Налог на рекламу, мобилизуемый на территориях муниципальных районов</t>
  </si>
  <si>
    <t xml:space="preserve">Курортный сбор, мобилизуемый на территориях муниципальных районов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</si>
  <si>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</si>
  <si>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Лицензионный сбор за право торговли спиртными напитками, мобилизуемый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</si>
  <si>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</si>
  <si>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муниципальной собственности</t>
  </si>
  <si>
    <t>Доходы от размещения временно свободных средств бюджетов муниципальных районов</t>
  </si>
  <si>
    <t>Доходы от размещения временно свободных средств бюджетов городских поселений</t>
  </si>
  <si>
    <t>Доходы от размещения временно свободных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</si>
  <si>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</si>
  <si>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</si>
  <si>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</si>
  <si>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</si>
  <si>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</si>
  <si>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муниципальных районов</t>
  </si>
  <si>
    <t>Прочие доходы от компенсации затрат бюджетов городских поселений</t>
  </si>
  <si>
    <t>Прочие доходы от компенсации затрат бюджетов сельских поселений</t>
  </si>
  <si>
    <t>Административные платежи и сборы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</si>
  <si>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</si>
  <si>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</si>
  <si>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</si>
  <si>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</si>
  <si>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</si>
  <si>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городских поселений</t>
  </si>
  <si>
    <t>Невыясненные поступления, зачисляемые в бюджеты сельских поселений</t>
  </si>
  <si>
    <t>Прочие неналоговые доходы бюджетов муниципальных районов</t>
  </si>
  <si>
    <t>Прочие неналоговые доходы бюджетов городских поселений</t>
  </si>
  <si>
    <t>Прочие неналоговые доходы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</si>
  <si>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</si>
  <si>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</si>
  <si>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Средства самообложения граждан, зачисляемые в бюджеты муниципальных районов</t>
  </si>
  <si>
    <t>Средства самообложения граждан, зачисляемые в бюджеты городских поселений</t>
  </si>
  <si>
    <t>Средства самообложения граждан, зачисляемые в бюджеты сельских поселений</t>
  </si>
  <si>
    <t xml:space="preserve">                                Приложение № 4 к решению Совета муниципального образования</t>
  </si>
  <si>
    <t>60740</t>
  </si>
  <si>
    <t xml:space="preserve">                                Приложение № 8 к решению Совета муниципального образования</t>
  </si>
  <si>
    <t xml:space="preserve">                                Приложение № 10 к решению Совета муниципального образования</t>
  </si>
  <si>
    <t xml:space="preserve">                                Приложение № 9 к решению Совета муниципального образования</t>
  </si>
  <si>
    <t>2 02 29999 05 0000 150</t>
  </si>
  <si>
    <t>2 02 30024 05 0000 150</t>
  </si>
  <si>
    <t>2 02 35120 05 0000 150</t>
  </si>
  <si>
    <t>2 02 15001 05 0000 150</t>
  </si>
  <si>
    <t>2 02 15002 05 0000 150</t>
  </si>
  <si>
    <t>2 02 40014 05 0000 150</t>
  </si>
  <si>
    <t>2 02 35082 05 0000 150</t>
  </si>
  <si>
    <t>2 02 39999 05 0000 150</t>
  </si>
  <si>
    <t>2 02 49999 05 0000 150</t>
  </si>
  <si>
    <t>2 02 30029 05 0000 150</t>
  </si>
  <si>
    <t>2 02 30027 05 0000 150</t>
  </si>
  <si>
    <t>2021 год</t>
  </si>
  <si>
    <t>2 02 10000 00 0000 150</t>
  </si>
  <si>
    <t>2 02 15001 00 0000 150</t>
  </si>
  <si>
    <t>2 02 20000 00 0000 150</t>
  </si>
  <si>
    <t>2 02 29999 00 0000 150</t>
  </si>
  <si>
    <t>2 02 30000 00 0000 150</t>
  </si>
  <si>
    <t>2 02 30024 00 0000 150</t>
  </si>
  <si>
    <t>2 02 30027 00 0000 150</t>
  </si>
  <si>
    <t>2 02 30029 00 0000 150</t>
  </si>
  <si>
    <t>2 02 35120 00 0000 150</t>
  </si>
  <si>
    <t>2 18 05010 05 0000 150</t>
  </si>
  <si>
    <t>2 19 60010 05 0000 150</t>
  </si>
  <si>
    <t>Доходы от оказания платных услуг и компенсации затрат государства*</t>
  </si>
  <si>
    <t>2 08 05000 05 0000 150</t>
  </si>
  <si>
    <t>(процентов)</t>
  </si>
  <si>
    <t>Доходы от оказания платных услуг и компенсации затрат государства</t>
  </si>
  <si>
    <t xml:space="preserve">                                Приложение № 11 к решению Совета муниципального образования</t>
  </si>
  <si>
    <t xml:space="preserve">                                Приложение № 12 к решению Совета муниципального образования</t>
  </si>
  <si>
    <t xml:space="preserve">                                Приложение № 14 к решению Совета муниципального образования</t>
  </si>
  <si>
    <t xml:space="preserve">                                Приложение № 15 к решению Совета муниципального образования</t>
  </si>
  <si>
    <t xml:space="preserve">                                Приложение № 16 к решению Совета муниципального образования</t>
  </si>
  <si>
    <t>Приложение № 19 к решению Совета муниципального образования</t>
  </si>
  <si>
    <t xml:space="preserve">                                Приложение № 20 к решению Совета муниципального образования</t>
  </si>
  <si>
    <t>Приложение № 21 к решению Совета муниципального образования</t>
  </si>
  <si>
    <t>Приложение № 7 к решению Совета муниципального образования</t>
  </si>
  <si>
    <t>10700</t>
  </si>
  <si>
    <t>2 02 40000 00 0000 150</t>
  </si>
  <si>
    <t>2022 год</t>
  </si>
  <si>
    <t>субсидии на создание условий для организации досуга и обеспечения жителей поселения, городского округа услугами организаций культуры, либо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</si>
  <si>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субсидии на обеспечение условий для развития физической культуры и массового спорта в части оплаты труда инструкторов по спорту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</si>
  <si>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</si>
  <si>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S2820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</si>
  <si>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</si>
  <si>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16</t>
  </si>
  <si>
    <t>Создание условий для организации досуга и обеспечения жителей услугами организаций культуры</t>
  </si>
  <si>
    <t>S0560</t>
  </si>
  <si>
    <t>921</t>
  </si>
  <si>
    <t>S0620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</si>
  <si>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</si>
  <si>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С0820</t>
  </si>
  <si>
    <t>R0820</t>
  </si>
  <si>
    <t>S1070</t>
  </si>
  <si>
    <t>2 18 60010 05 0000 150</t>
  </si>
  <si>
    <t>2 02 25169 05 0000 150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</si>
  <si>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</si>
  <si>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</si>
  <si>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</si>
  <si>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</si>
  <si>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субсидии на защиту населения и территории муниципальных образований от чрезвычайных ситуаций природного характера на объектах туристского показа, находящихся в муниципальной собственности</t>
  </si>
  <si>
    <t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</si>
  <si>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субвенции на осуществление отдельных государственных полномочий Краснодарского края по поддержке сельскохозяйственного производства</t>
  </si>
  <si>
    <t xml:space="preserve">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 </t>
  </si>
  <si>
    <t xml:space="preserve">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 </t>
  </si>
  <si>
    <t>муниципальные дошкольные образовательные организации, общеобразовательные организации, организации дополнительного   образования (в области образования)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</si>
  <si>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</si>
  <si>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</si>
  <si>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субсидии на участие в профилактике терроризма в части обеспечения инженерно-технической защищенности муниципальных образовательных организаций
</t>
  </si>
  <si>
    <t>субсидии на участие в осуществлении мероприятий по предупреждению детского дорожно-транспортного травматизма на территории  муниципальных образований Краснодарского края</t>
  </si>
  <si>
    <t>925</t>
  </si>
  <si>
    <t>Нефтегорское городское поселение</t>
  </si>
  <si>
    <t>1 08 07150 01 0000 110</t>
  </si>
  <si>
    <t xml:space="preserve">Государственная пошлина  за выдачу разрешения на установку рекламной конструкции 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</si>
  <si>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</si>
  <si>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</si>
  <si>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1 13 01995 05 0000 130</t>
  </si>
  <si>
    <t>1 13 02995 05 0000 130</t>
  </si>
  <si>
    <t>Прочие доходы от компенсации затрат бюджетов муниципальных районов*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</si>
  <si>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</si>
  <si>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</si>
  <si>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</si>
  <si>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</si>
  <si>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1 16 09040 05 0000 140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</si>
  <si>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</si>
  <si>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</si>
  <si>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</si>
  <si>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</si>
  <si>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</si>
  <si>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</si>
  <si>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</si>
  <si>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</si>
  <si>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</si>
  <si>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</si>
  <si>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</si>
  <si>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1 16 10123 01 0000 140</t>
  </si>
  <si>
    <t>1 17 01050 05 0000 180</t>
  </si>
  <si>
    <t>1 17 05050 05 0000 180</t>
  </si>
  <si>
    <t>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</si>
  <si>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</si>
  <si>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</si>
  <si>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</si>
  <si>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2 07 05030 05 0000 150</t>
  </si>
  <si>
    <t>Прочие безвозмездные поступления в бюджеты муниципальных районов</t>
  </si>
  <si>
    <t>1 16 01154 01 0000 140</t>
  </si>
  <si>
    <t>1 16 01157 01 0000 140</t>
  </si>
  <si>
    <t>1 16 01194 01 0000 140</t>
  </si>
  <si>
    <t>1 16 01054 01 0000 140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</si>
  <si>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</si>
  <si>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</si>
  <si>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</si>
  <si>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1 11 05013 05 0000 120</t>
  </si>
  <si>
    <t>Доходы от перечисления части прибыли, остающейся  после уплаты налогов и иных обязательных платежей муниципальных унитарных предприятий, созданных муниципальными районами</t>
  </si>
  <si>
    <t>1 13 02065 05 0000 130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</si>
  <si>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</si>
  <si>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</si>
  <si>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</si>
  <si>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</si>
  <si>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</si>
  <si>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</si>
  <si>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</si>
  <si>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</si>
  <si>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</si>
  <si>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</si>
  <si>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</si>
  <si>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</si>
  <si>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</si>
  <si>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</si>
  <si>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</si>
  <si>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</si>
  <si>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района*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</si>
  <si>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</si>
  <si>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</si>
  <si>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01 06 01 00 05 0000 630</t>
  </si>
  <si>
    <t>Средства от продажи акций и иных форм участия в капитале, находящихся в собственности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</si>
  <si>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</si>
  <si>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</si>
  <si>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главного администратора доходов районного бюджета (главного администратора источников финансирования дефицита районного бюджета)</t>
  </si>
  <si>
    <t>доходов районного бюджета (источников финансирования дефицита районного бюджета)</t>
  </si>
  <si>
    <t>1 06 02000 02 0000 110</t>
  </si>
  <si>
    <t>Налог на имущество организаций*</t>
  </si>
  <si>
    <t xml:space="preserve">Программа муниципальных внутренних заимствований муниципального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</si>
  <si>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</si>
  <si>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Осуществление мероприятий по предупреждению детского дорожно-транспортного травматизма</t>
  </si>
  <si>
    <t>S2470</t>
  </si>
  <si>
    <t>Профилактика терроризма</t>
  </si>
  <si>
    <t>S0460</t>
  </si>
  <si>
    <t>субвенции на 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</si>
  <si>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</si>
  <si>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Иные межбюджетные трансферты бюджетам бюджетной системы Российской Федерации</t>
  </si>
  <si>
    <t>Иные межбюджетные трансферты</t>
  </si>
  <si>
    <t xml:space="preserve">2 02 40014 00 0000 150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</si>
  <si>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</si>
  <si>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</si>
  <si>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</si>
  <si>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</si>
  <si>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 xml:space="preserve">Департамент потребительской сферы и регулирования рынка алкоголя Краснодарского края </t>
  </si>
  <si>
    <t>Министерство экономики Краснодарского края</t>
  </si>
  <si>
    <t xml:space="preserve">Министерство сельского хозяйства и перерабатывающей промышленности Краснодарского края </t>
  </si>
  <si>
    <t xml:space="preserve">Департамент имущественных отношений Краснодарского края </t>
  </si>
  <si>
    <t>Министерство здравоохранения Краснодарского края</t>
  </si>
  <si>
    <t>Министерство труда и социального развития Краснодарского края</t>
  </si>
  <si>
    <t>Департамент ветеринарии Краснодарского края</t>
  </si>
  <si>
    <t>Департамент по надзору в строительной сфере Краснодарского края</t>
  </si>
  <si>
    <t>Департамент по обеспечению деятельности мировых судей Краснодарского края</t>
  </si>
  <si>
    <t>1 16 01053 01 0000 140</t>
  </si>
  <si>
    <t>1 16 01063 01 0000 140</t>
  </si>
  <si>
    <t>1 16 01073 01 0000 140</t>
  </si>
  <si>
    <t>1 16 01083 01 0000 140</t>
  </si>
  <si>
    <t>1 16 01093 01 0000 140</t>
  </si>
  <si>
    <t>1 16 01103 01 0000 140</t>
  </si>
  <si>
    <t>1 16 01113 01 0000 140</t>
  </si>
  <si>
    <t>1 16 01123 01 0000 140</t>
  </si>
  <si>
    <t>1 16 01133 01 0000 140</t>
  </si>
  <si>
    <t>1 16 01143 01 0000 140</t>
  </si>
  <si>
    <t>1 16 01153 01 0000 140</t>
  </si>
  <si>
    <t>1 16 01163 01 0000 140</t>
  </si>
  <si>
    <t>1 16 01173 01 0000 140</t>
  </si>
  <si>
    <t>1 16 01183 01 0000 140</t>
  </si>
  <si>
    <t>1 16 01193 01 0000 140</t>
  </si>
  <si>
    <t>1 16 01203 01 0000 140</t>
  </si>
  <si>
    <t>Государственная жилищная инспекция Краснодарского края</t>
  </si>
  <si>
    <t>Министерство природных ресурсов Краснодарского края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</si>
  <si>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</si>
  <si>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</si>
  <si>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Муниципальная программа муниципального образования Апшеронский район «Развитие образования»</t>
  </si>
  <si>
    <t>R3</t>
  </si>
  <si>
    <t>Федеральный проект "Безопасность дорожного движения"</t>
  </si>
  <si>
    <t>Наименование принципала</t>
  </si>
  <si>
    <t>наличие права регрессного требования гаранта к принципалу</t>
  </si>
  <si>
    <t>Обеспечение условий для развития физической культуры и массового спорта в части оплаты труда инструкторов по спорту</t>
  </si>
  <si>
    <t xml:space="preserve"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 </t>
  </si>
  <si>
    <t>субсидии на организацию теплоснабжения населения (строительство (реконструкция, техническое перевооружение) объектов теплоснабжения населения (котельных, тепловых сетей, тепловых пунктов)</t>
  </si>
  <si>
    <t>1 16 01074 01 0000 140</t>
  </si>
  <si>
    <t>Перечень главных администраторов доходов районного бюджета и закрепляемые                                       за ними виды (подвиды) доходов районного бюджета и перечень главных администраторов источников финансирования дефицита районного бюджета</t>
  </si>
  <si>
    <t>63110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</si>
  <si>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</si>
  <si>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</si>
  <si>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</si>
  <si>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</si>
  <si>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</si>
  <si>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</si>
  <si>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</si>
  <si>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</si>
  <si>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1 16 11030 01 0000 140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</si>
  <si>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
</t>
  </si>
  <si>
    <t>1 16 11050 01 0000 140</t>
  </si>
  <si>
    <t xml:space="preserve"> </t>
  </si>
  <si>
    <t xml:space="preserve">Выплата пенсии за выслугу лет лицам, замещавшим муниципальные должности и должности муниципальной службы в органах местного самоуправления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</si>
  <si>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чрезвычайной ситуации</t>
  </si>
  <si>
    <t>2 02 19999 05 0000 150</t>
  </si>
  <si>
    <t>Резервный фонд администрации муниципального образования</t>
  </si>
  <si>
    <t>Непрограммные расходы органов местного самоуправления</t>
  </si>
  <si>
    <t>Непрограммные расходы</t>
  </si>
  <si>
    <t>Прочие дотации бюджетам муниципальных районов</t>
  </si>
  <si>
    <t>Меры государственной поддержки лиц, замещавших муниципальные должности и должности муниципальной службы муниципального образования Апшеронский район</t>
  </si>
  <si>
    <t>Меры государственной поддержки лиц, замещавших муниципальные должности и  должности муниципальной службы муниципального образования Апшеронский район</t>
  </si>
  <si>
    <t xml:space="preserve">Непрограммные расходы органов 
местного самоуправления
</t>
  </si>
  <si>
    <t>Мероприятия по предупреждению и ликвидации чрезвычайных ситуаций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</si>
  <si>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</si>
  <si>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925, 929</t>
  </si>
  <si>
    <t>2 02 45303 05 0000 150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</si>
  <si>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</si>
  <si>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</si>
  <si>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11110</t>
  </si>
  <si>
    <t>Реализация мероприятий по газификации населенных пунктов поселений муниципального образования Апшеронский район</t>
  </si>
  <si>
    <t>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</si>
  <si>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</si>
  <si>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</si>
  <si>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</si>
  <si>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</si>
  <si>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Обслуживание государственного (муниципального) внутреннего долга</t>
  </si>
  <si>
    <t>Ведомственная структура расходов районного бюджета на 2021 год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</si>
  <si>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на 2021 год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</si>
  <si>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и 2023 годы</t>
  </si>
  <si>
    <t>2023 год</t>
  </si>
  <si>
    <t>классификации расходов бюджетов на 2021 год</t>
  </si>
  <si>
    <t>классификации расходов бюджетов на 2022 и 2023 годы</t>
  </si>
  <si>
    <t>Объем поступлений доходов в районный бюджет по кодам видов (подвидов) доходов на 2021 год</t>
  </si>
  <si>
    <t>Объем поступлений доходов в районный бюджет по кодам видов (подвидов) доходов на 2022 и 2023 годы</t>
  </si>
  <si>
    <t>Безвозмездные поступления из краевого бюджета в 2021 году</t>
  </si>
  <si>
    <t>Безвозмездные поступления из краевого бюджета в 2022 и 2023 годах</t>
  </si>
  <si>
    <t>Безвозмездные поступления                                                                                                                     из бюджетов поселений на осуществление части полномочий                                                                                 по решению вопросов местного значения                                                                                                    в соответствии с заключенными соглашениями в 2021 году</t>
  </si>
  <si>
    <t>Ведомственная структура расходов районного бюджета на 2022 и 2023 годы</t>
  </si>
  <si>
    <t>Источники внутреннего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2021 год</t>
  </si>
  <si>
    <t>Источники внутреннего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2022 и 2023 годы</t>
  </si>
  <si>
    <t>Объем межбюджетных трансфертов, предоставляемых другим бюджетам бюджетной системы Российской Федерации, на 2021 год</t>
  </si>
  <si>
    <t>Объем межбюджетных трансфертов, предоставляемых другим бюджетам                                                                                                                                                                                                                                                                             бюджетной системы Российской Федерации, на 2022 и 2023 годы</t>
  </si>
  <si>
    <r>
      <t xml:space="preserve">Раздел 2. </t>
    </r>
    <r>
      <rPr>
        <sz val="14"/>
        <rFont val="Times New Roman"/>
        <family val="1"/>
        <charset val="204"/>
      </rPr>
      <t>Программа муниципальных внутренних заимствований муниципального образования Апшеронский  район на 2022 и 2023 годы</t>
    </r>
  </si>
  <si>
    <r>
      <t xml:space="preserve">Раздел 1. </t>
    </r>
    <r>
      <rPr>
        <sz val="14"/>
        <rFont val="Times New Roman"/>
        <family val="1"/>
        <charset val="204"/>
      </rPr>
      <t>Программа муниципальных внутренних заимствований муниципального образования Апшеронский район на 2021 год</t>
    </r>
  </si>
  <si>
    <t>Раздел 1. Перечень подлежащих предоставлению муниципальных гарантий муниципального образования Апшеронский район в 2021 году и в плановом периоде 2022 и 2023 годов</t>
  </si>
  <si>
    <t>на 2021 год и на плановый период 2022 и 2023 годов</t>
  </si>
  <si>
    <t>Субвенции на 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</si>
  <si>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</si>
  <si>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</si>
  <si>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</si>
  <si>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</si>
  <si>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</si>
  <si>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газоснабжения населения (поселений) (строительство подводящих газопроводов, 
распределительных газопроводов)</t>
  </si>
  <si>
    <t>Расходы на обеспечение деятельности (оказание услуг) муниципальных учреждений</t>
  </si>
  <si>
    <t>Осуществление капитального ремонта</t>
  </si>
  <si>
    <t>Мероприятия по пожарной безопасности</t>
  </si>
  <si>
    <t>10640</t>
  </si>
  <si>
    <t>Пожарная безопасность в органах местного самоуправления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</si>
  <si>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</si>
  <si>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</si>
  <si>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</si>
  <si>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2 02 20299 05 0000 150</t>
  </si>
  <si>
    <t>Дотации на поддержку мер по обеспечению сбалансированности бюджетов поселений</t>
  </si>
  <si>
    <t>10710</t>
  </si>
  <si>
    <t>2 02 20302 00 0000 150</t>
  </si>
  <si>
    <t>2 02 20302 05 0000 150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</si>
  <si>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</si>
  <si>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</si>
  <si>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Молодежная политика</t>
  </si>
  <si>
    <t>00400</t>
  </si>
  <si>
    <t>Мероприятия по организации отдыха детей в каникулярное время</t>
  </si>
  <si>
    <t>Профилактика терроризма и экстремизма в органах местного самоуправления</t>
  </si>
  <si>
    <t>Мероприятия по профилактике терорризма и экстремизма</t>
  </si>
  <si>
    <t xml:space="preserve"> Построение и развитие АПК "Безопасный город" и системы "112"</t>
  </si>
  <si>
    <t xml:space="preserve">Мероприятия по информатизации администрации муниципального образования, ее отраслевых (функциональных) органов </t>
  </si>
  <si>
    <t xml:space="preserve">Мероприятия по пожарной безопасности </t>
  </si>
  <si>
    <t>F3</t>
  </si>
  <si>
    <t>67483</t>
  </si>
  <si>
    <t>67484</t>
  </si>
  <si>
    <t>Федеральный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</si>
  <si>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</si>
  <si>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Жилищное хозяйство</t>
  </si>
  <si>
    <t>0501</t>
  </si>
  <si>
    <t xml:space="preserve"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
</t>
  </si>
  <si>
    <t>Бюджетные кредиты,  привлеченные в бюджет  муниципального образования  Апшеронский район из других  бюджетов бюджетной системы Российской Федерации, всего</t>
  </si>
  <si>
    <t>привлечение (предельный срок погашения - до 10 лет)</t>
  </si>
  <si>
    <t>предоставление обеспечения исполнения обязательств принципала по удовлетворению регрессного требования гаранта к принципалу</t>
  </si>
  <si>
    <t>Условия предоставления и исполнения гарантий</t>
  </si>
  <si>
    <t>в валюте Российской Федерации на 2021 год и плановый период 2022 и 2023 годов</t>
  </si>
  <si>
    <t>Раздел 2. Общий объем бюджетных ассигнований, предусмотренных на исполнение муниципальных гарантий муниципального образования Апшеронский район по возможным гарантийным случаям в 2021 году и в плановом периоде 2022 и 2023 годов</t>
  </si>
  <si>
    <t>Объем, тыс. рублей</t>
  </si>
  <si>
    <t xml:space="preserve">Программа муниципальных внешних заимствований муниципального </t>
  </si>
  <si>
    <t>образования Апшеронский  район на 2021 год и плановый период 2022 и 2023 годов</t>
  </si>
  <si>
    <r>
      <t xml:space="preserve">Раздел 1. </t>
    </r>
    <r>
      <rPr>
        <sz val="14"/>
        <rFont val="Times New Roman"/>
        <family val="1"/>
        <charset val="204"/>
      </rPr>
      <t>Программа муниципальных внешних заимствований муниципального образования Апшеронский район на 2021 год</t>
    </r>
  </si>
  <si>
    <t>Бюджетные кредиты,  привлеченные в бюджет  муниципального образования  Апшеронский район от Российской Федерации в иностранной валюте в рамках использования целевых иностранных кредитов</t>
  </si>
  <si>
    <t xml:space="preserve">                                Приложение № 22 к решению Совета муниципального образования</t>
  </si>
  <si>
    <t>в иностранной валюте на 2021 год и плановый период 2022 и 2023 годов</t>
  </si>
  <si>
    <t>Объем гарантий</t>
  </si>
  <si>
    <t>Приложение № 23 к решению Совета муниципального образования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</si>
  <si>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</si>
  <si>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</si>
  <si>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</si>
  <si>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</si>
  <si>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</si>
  <si>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</si>
  <si>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</si>
  <si>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</si>
  <si>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</si>
  <si>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</si>
  <si>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</si>
  <si>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</si>
  <si>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</si>
  <si>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</si>
  <si>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</si>
  <si>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</si>
  <si>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</si>
  <si>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</si>
  <si>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</si>
  <si>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Административные штрафы, 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</si>
  <si>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</si>
  <si>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</si>
  <si>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Привлечение кредитов от кредитных организаций  бюджетами муниципальных районов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</si>
  <si>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</si>
  <si>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</si>
  <si>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</si>
  <si>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</si>
  <si>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</si>
  <si>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</si>
  <si>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</si>
  <si>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</si>
  <si>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2 19 25169 05 0000 150</t>
  </si>
  <si>
    <t>Возврат остатков субсидий на обновление материально-технической базы для формирования у обучающихся современных технологических и гуманитарных навыков из бюджетов муниципальных районов</t>
  </si>
  <si>
    <t>Доходы бюджетов муниципальных районов от возврата автономными учреждениями остатков субсидий прошлых лет</t>
  </si>
  <si>
    <t>2 18 05020 05 0000 150</t>
  </si>
  <si>
    <t>Переселение граждан из аварийного жилищного фонда</t>
  </si>
  <si>
    <t>8</t>
  </si>
  <si>
    <t>Объем и распределение дотаций на выравнивание бюджетной обеспеченности поселений, входящих в состав муниципального образования Апшеронский район, на 2022 и 2023 годы</t>
  </si>
  <si>
    <t>Объем и распределение дотаций на выравнивание бюджетной обеспеченности поселений, входящих в состав муниципального образования Апшеронский район, на 2021 год</t>
  </si>
  <si>
    <r>
      <t xml:space="preserve">Раздел 2. </t>
    </r>
    <r>
      <rPr>
        <sz val="14"/>
        <rFont val="Times New Roman"/>
        <family val="1"/>
        <charset val="204"/>
      </rPr>
      <t>Программа муниципальных внешних заимствований муниципального образования Апшеронский  район на 2022 и 2023 годы</t>
    </r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</si>
  <si>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</si>
  <si>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</si>
  <si>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Наименование кода группы, подгруппы, статьи, элемента, подвида, аналитической группы вида источников финансирования дефицитов бюджетов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</si>
  <si>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указанной государственной итоговой аттестации</t>
  </si>
  <si>
    <t>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</si>
  <si>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</si>
  <si>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2 02 25228 00 0000 150</t>
  </si>
  <si>
    <t>Субсидии бюджетам на оснащение объектов спортивной инфраструктуры спортивно-технологическим оборудованием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</si>
  <si>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</si>
  <si>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</si>
  <si>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</si>
  <si>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</si>
  <si>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2 02 35469 00 0000 150</t>
  </si>
  <si>
    <t>Субвенции бюджетам на проведение Всероссийской переписи населения 2020 года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</si>
  <si>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</si>
  <si>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</si>
  <si>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P5</t>
  </si>
  <si>
    <t>Федеральный проект "Спорт – норма жизни"</t>
  </si>
  <si>
    <t>Оснащение объектов спортивной инфраструктуры спортивно-технологическим оборудованием</t>
  </si>
  <si>
    <t>Формирование официальной статистической информации</t>
  </si>
  <si>
    <t>Проведение Всероссийской переписи населения 2020 года</t>
  </si>
  <si>
    <t>54690</t>
  </si>
  <si>
    <t>Укрепление правопорядка, профилактика правонарушений, усиление борьбы с преступностью в муниципальном образовании</t>
  </si>
  <si>
    <t>Повышение эффективности мер, принимаемых для охраны общественного порядка и профилактики правонарушений  в муниципальном образовании</t>
  </si>
  <si>
    <t>11420</t>
  </si>
  <si>
    <t>Реализация мероприятий в области строительства, архитектуры и градостроительства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</si>
  <si>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</si>
  <si>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</si>
  <si>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1 11 00000 00 0000 000</t>
  </si>
  <si>
    <t>Доходы от использования имущества, находящегося в государственной и муниципальной собственности*, в том числе: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</si>
  <si>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</si>
  <si>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</si>
  <si>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</si>
  <si>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</si>
  <si>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</si>
  <si>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52280</t>
  </si>
  <si>
    <t>Апшеронский район от 25.12.2020 № 22</t>
  </si>
  <si>
    <t>до изменений (скрыть)</t>
  </si>
  <si>
    <t>изменения</t>
  </si>
  <si>
    <t>с учетом изменений</t>
  </si>
  <si>
    <t>Прочие межбюджетные трансферты общего характера</t>
  </si>
  <si>
    <t>98</t>
  </si>
  <si>
    <t>Мероприятия, направленные на предупреждение и ликвидацию чрезвычайных ситуаций и их последствий, а также на иные мероприятия (неотложные расходы), не относящиеся к публичным нормативным обязательствам</t>
  </si>
  <si>
    <t>Устранение гравийно-галечниковых и карчевых наносов в русле реки Туха в станице Нефтяной Нефтегорского городского поселения Апшеронского района</t>
  </si>
  <si>
    <t>Иные межбюджетные трансферты бюджетам поселений за счет средств резервного фонда администрации муниципального образования Апшеронский район</t>
  </si>
  <si>
    <t>Финансовое обеспечение непредвиденных расходов, в том числе связанных с предупреждением и ликвидацией чрезвычайных ситуаций и их последствий, а также иных мероприятий (неотложных расходов)</t>
  </si>
  <si>
    <t>90020</t>
  </si>
  <si>
    <t>1 09 07013 05</t>
  </si>
  <si>
    <t>1 09 07022 05</t>
  </si>
  <si>
    <t>1 09 07033 05</t>
  </si>
  <si>
    <t>1 09 07043 05</t>
  </si>
  <si>
    <t>1 09 07053 05</t>
  </si>
  <si>
    <t>1 11 02033 05</t>
  </si>
  <si>
    <t>1 11 02033 10</t>
  </si>
  <si>
    <t>1 11 02033 13</t>
  </si>
  <si>
    <t>1 13 01995 05</t>
  </si>
  <si>
    <t>1 13 01995 10</t>
  </si>
  <si>
    <t>1 13 01995 13</t>
  </si>
  <si>
    <t>1 13 02065 05</t>
  </si>
  <si>
    <t>1 13 02065 10</t>
  </si>
  <si>
    <t>1 13 02065 13</t>
  </si>
  <si>
    <t>1 13 02995 05</t>
  </si>
  <si>
    <t>1 13 02995 10</t>
  </si>
  <si>
    <t>1 13 02995 13</t>
  </si>
  <si>
    <t>1 15 02050 05</t>
  </si>
  <si>
    <t>1 15 02050 10</t>
  </si>
  <si>
    <t>1 15 02050 13</t>
  </si>
  <si>
    <t>1 16 10061 05</t>
  </si>
  <si>
    <t>1 16 10061 10</t>
  </si>
  <si>
    <t>1 16 10061 13</t>
  </si>
  <si>
    <t>1 16 10062 05</t>
  </si>
  <si>
    <t>1 16 10062 10</t>
  </si>
  <si>
    <t>1 16 10062 13</t>
  </si>
  <si>
    <t>1 16 10100 05</t>
  </si>
  <si>
    <t>1 16 10100 10</t>
  </si>
  <si>
    <t>1 16 10100 13</t>
  </si>
  <si>
    <t>1 17 01050 05</t>
  </si>
  <si>
    <t>1 17 01050 10</t>
  </si>
  <si>
    <t>1 17 01050 13</t>
  </si>
  <si>
    <t>1 17 02020 10</t>
  </si>
  <si>
    <t>1 17 02020 13</t>
  </si>
  <si>
    <t>1 17 05050 05</t>
  </si>
  <si>
    <t>1 17 05050 10</t>
  </si>
  <si>
    <t>1 17 05050 13</t>
  </si>
  <si>
    <t>1 17 14030 05</t>
  </si>
  <si>
    <t>1 17 14030 10</t>
  </si>
  <si>
    <t>1 17 14030 13</t>
  </si>
  <si>
    <t>1 17 15030 05</t>
  </si>
  <si>
    <t>Инициативные платежи, зачисляемые в бюджеты муниципальных районов</t>
  </si>
  <si>
    <t>1 17 15030 10</t>
  </si>
  <si>
    <t>Инициативные платежи, зачисляемые в бюджеты сельских поселений</t>
  </si>
  <si>
    <t>1 17 15030 13</t>
  </si>
  <si>
    <t>Инициативные платежи, зачисляемые в бюджеты городских поселений</t>
  </si>
  <si>
    <t>Благоустройство</t>
  </si>
  <si>
    <t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</t>
  </si>
  <si>
    <t>Обращение с твердыми коммунальными отходами на территории сельских поселений Апшеронского района</t>
  </si>
  <si>
    <t>Обеспечение мероприятий в области обращения с твердыми коммунальными отходами</t>
  </si>
  <si>
    <t>Создание и содержание мест (площадок) накопления твердых коммунальных отходов</t>
  </si>
  <si>
    <t>11200</t>
  </si>
  <si>
    <t>0503</t>
  </si>
  <si>
    <t>Благоустройство территории Куринского сельского поселения Апшеронского района по адресу: станица Куринская. ул. Новицкого, 103</t>
  </si>
  <si>
    <t xml:space="preserve">                                Приложение № 7 к решению Совета муниципального образования</t>
  </si>
  <si>
    <t>Социальное обеспечение населения</t>
  </si>
  <si>
    <t>Финансовое обеспечение непредвиденных расходов, в том числе связанных с предупреждением и ликвидацией чрезвычайных ситуаций и их последствий, а также иных мероприятий 
(неотложных расходов)</t>
  </si>
  <si>
    <t>Мероприятия, направленные на предупреждение и ликвидацию чрезвычайных ситуаций и их последствий, а также на иные мероприятия (неотложные расходы), в части исполнения публичных нормативных обязательств</t>
  </si>
  <si>
    <t>Единовременная материальная помощь гражданам, пострадавшим в результате чрезвычайной ситуации</t>
  </si>
  <si>
    <t>Единовременная финансовая помощь в связи с утратой имущества первой необходимости за частично утраченное имущество</t>
  </si>
  <si>
    <t>2 19 25304 05 0000 150</t>
  </si>
  <si>
    <t>2 19 45303 05 0000 150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</si>
  <si>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</si>
  <si>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</si>
  <si>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Приложение № 4 к решению Совета муниципального образования</t>
  </si>
  <si>
    <t>Проведение государственной экспертизы в части достоверности определения сметной стоимости капитального ремонта объекта капитального строительства «Капитальный ремонт системы отопления здания Сельский дом культуры, пос. Отдаленный, ул. Клубная,13»</t>
  </si>
  <si>
    <t>Проведение государственной экспертизы в части достоверности определения сметной стоимости капитального ремонта объекта капитального строительства «Капитальный ремонт здания Сельский дом культуры, пос. Отдаленный, ул. Клубная, 13»</t>
  </si>
  <si>
    <t>18</t>
  </si>
  <si>
    <t>Средства резервного фонда администрации Краснодарского края</t>
  </si>
  <si>
    <t>S2400</t>
  </si>
  <si>
    <t>субсидии на оказание единовременной материальной помощи и единовременной финансовой помощи в связи с частичной утратой имущества первой необходимости гражданам Российской Федерации, пострадавшим в результате чрезвычайной ситуации на территории Апшеронского района 28 июля 2020 года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</si>
  <si>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</si>
  <si>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60580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</si>
  <si>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</si>
  <si>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Осуществление отдельных государственных полномочий по выплате единовременного пособия детям‑сиротам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</si>
  <si>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Разработка акта регулярного обследования гидротехнического сооружения: берегозащитная дамба левого берега на р. Пшеха, расположенного на территории Черниговского сельского поселения Апшеронского района</t>
  </si>
  <si>
    <t>Разработка расчета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сооружения: берегозащитная дамба левого берега на р. Пшеха, расположенного на территории Черниговского сельского поселения Апшеронского района</t>
  </si>
  <si>
    <t xml:space="preserve">Иные межбюджетные трансферты бюджетам поселений за счет средств резервного фонда администрации муниципального образования Апшеронский район </t>
  </si>
  <si>
    <t>2 02 49999 00 0000 150</t>
  </si>
  <si>
    <t>Прочие межбюджетные трансферты, передаваемые бюджетам</t>
  </si>
  <si>
    <t>Дополнительная помощь местным бюджетам для решения социально значимых вопросов местного значения</t>
  </si>
  <si>
    <t>62980</t>
  </si>
  <si>
    <t>Организация газоснабжения населения (поселений) (строительство подводящих газопроводов, распределительных газопроводов)</t>
  </si>
  <si>
    <t>Организация теплоснабжения населения (строительство (реконструкция, техническое перевооружение) объектов теплоснабжения населения (котельных, тепловых сетей, тепловых пунктов))</t>
  </si>
  <si>
    <t>Апшеронский район от 01.04.2021 года № 32</t>
  </si>
</sst>
</file>

<file path=xl/styles.xml><?xml version="1.0" encoding="utf-8"?>
<styleSheet xmlns="http://schemas.openxmlformats.org/spreadsheetml/2006/main">
  <numFmts count="1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"/>
    <numFmt numFmtId="168" formatCode="0.00000"/>
    <numFmt numFmtId="169" formatCode="0.0_ ;[Red]\-0.0\ "/>
    <numFmt numFmtId="170" formatCode="#,##0.00000"/>
    <numFmt numFmtId="171" formatCode="0.000000"/>
    <numFmt numFmtId="172" formatCode="0.00000_ ;[Red]\-0.00000\ "/>
    <numFmt numFmtId="173" formatCode="_-* #,##0.00000_р_._-;\-* #,##0.00000_р_._-;_-* &quot;-&quot;?????_р_._-;_-@_-"/>
    <numFmt numFmtId="174" formatCode="0.000"/>
    <numFmt numFmtId="175" formatCode="#,##0.0_ ;\-#,##0.0\ "/>
    <numFmt numFmtId="176" formatCode="#,##0.0_ ;[Red]\-#,##0.0\ "/>
    <numFmt numFmtId="177" formatCode="_-* #,##0.00000\ _₽_-;\-* #,##0.00000\ _₽_-;_-* &quot;-&quot;??\ _₽_-;_-@_-"/>
  </numFmts>
  <fonts count="50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b/>
      <i/>
      <sz val="14"/>
      <name val="Arial"/>
      <family val="2"/>
    </font>
    <font>
      <b/>
      <sz val="11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1"/>
      <name val="Calibri"/>
      <family val="2"/>
    </font>
    <font>
      <sz val="14"/>
      <color rgb="FFC00000"/>
      <name val="Times New Roman"/>
      <family val="1"/>
    </font>
    <font>
      <i/>
      <sz val="12"/>
      <name val="Times New Roman"/>
      <family val="1"/>
      <charset val="204"/>
    </font>
    <font>
      <b/>
      <i/>
      <sz val="12"/>
      <name val="Times New Roman"/>
      <family val="1"/>
    </font>
    <font>
      <sz val="14"/>
      <color rgb="FFFF0000"/>
      <name val="Times New Roman"/>
      <family val="1"/>
      <charset val="204"/>
    </font>
    <font>
      <i/>
      <sz val="12"/>
      <color rgb="FF0000FF"/>
      <name val="Times New Roman"/>
      <family val="1"/>
      <charset val="204"/>
    </font>
    <font>
      <sz val="12"/>
      <color rgb="FFC00000"/>
      <name val="Times New Roman"/>
      <family val="1"/>
    </font>
    <font>
      <sz val="14"/>
      <color rgb="FF00B050"/>
      <name val="Times New Roman"/>
      <family val="1"/>
    </font>
    <font>
      <b/>
      <sz val="12"/>
      <color rgb="FF00B050"/>
      <name val="Times New Roman"/>
      <family val="1"/>
    </font>
    <font>
      <sz val="11"/>
      <color rgb="FF0000FF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8A0000"/>
      <name val="Times New Roman"/>
      <family val="1"/>
    </font>
    <font>
      <sz val="14"/>
      <color rgb="FF8A0000"/>
      <name val="Times New Roman"/>
      <family val="1"/>
    </font>
    <font>
      <sz val="14"/>
      <color rgb="FF8A0000"/>
      <name val="Calibri"/>
      <family val="2"/>
      <scheme val="minor"/>
    </font>
    <font>
      <sz val="14"/>
      <color theme="6" tint="-0.499984740745262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5" fontId="7" fillId="0" borderId="0" applyFont="0" applyFill="0" applyBorder="0" applyAlignment="0" applyProtection="0"/>
    <xf numFmtId="0" fontId="9" fillId="0" borderId="0"/>
    <xf numFmtId="0" fontId="9" fillId="0" borderId="0"/>
    <xf numFmtId="164" fontId="21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21" fillId="0" borderId="0"/>
    <xf numFmtId="0" fontId="7" fillId="0" borderId="0"/>
    <xf numFmtId="43" fontId="21" fillId="0" borderId="0" applyFont="0" applyFill="0" applyBorder="0" applyAlignment="0" applyProtection="0"/>
  </cellStyleXfs>
  <cellXfs count="949">
    <xf numFmtId="0" fontId="0" fillId="0" borderId="0" xfId="0"/>
    <xf numFmtId="0" fontId="3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0" xfId="1" applyFont="1" applyFill="1"/>
    <xf numFmtId="0" fontId="1" fillId="0" borderId="0" xfId="1" applyFont="1" applyFill="1" applyBorder="1" applyAlignment="1">
      <alignment wrapText="1"/>
    </xf>
    <xf numFmtId="0" fontId="1" fillId="0" borderId="0" xfId="7" applyFont="1" applyFill="1" applyAlignment="1">
      <alignment horizontal="right"/>
    </xf>
    <xf numFmtId="0" fontId="1" fillId="0" borderId="0" xfId="7" applyFont="1" applyFill="1" applyAlignment="1">
      <alignment wrapText="1"/>
    </xf>
    <xf numFmtId="0" fontId="1" fillId="0" borderId="0" xfId="1" applyFont="1" applyFill="1" applyAlignment="1">
      <alignment horizontal="center" vertical="center"/>
    </xf>
    <xf numFmtId="170" fontId="1" fillId="0" borderId="0" xfId="1" applyNumberFormat="1" applyFont="1" applyFill="1" applyAlignment="1">
      <alignment horizontal="right"/>
    </xf>
    <xf numFmtId="0" fontId="1" fillId="0" borderId="0" xfId="7" applyFont="1" applyFill="1" applyBorder="1"/>
    <xf numFmtId="170" fontId="1" fillId="0" borderId="0" xfId="1" applyNumberFormat="1" applyFont="1" applyFill="1"/>
    <xf numFmtId="0" fontId="1" fillId="0" borderId="0" xfId="7" applyFont="1" applyFill="1"/>
    <xf numFmtId="3" fontId="1" fillId="0" borderId="0" xfId="1" applyNumberFormat="1" applyFont="1" applyFill="1"/>
    <xf numFmtId="1" fontId="1" fillId="0" borderId="0" xfId="7" applyNumberFormat="1" applyFont="1" applyFill="1"/>
    <xf numFmtId="3" fontId="1" fillId="0" borderId="0" xfId="7" applyNumberFormat="1" applyFont="1" applyFill="1" applyBorder="1"/>
    <xf numFmtId="0" fontId="1" fillId="0" borderId="1" xfId="7" applyFont="1" applyFill="1" applyBorder="1" applyAlignment="1">
      <alignment horizontal="center" vertical="top"/>
    </xf>
    <xf numFmtId="0" fontId="1" fillId="0" borderId="1" xfId="7" applyFont="1" applyFill="1" applyBorder="1" applyAlignment="1">
      <alignment horizontal="center"/>
    </xf>
    <xf numFmtId="170" fontId="1" fillId="0" borderId="0" xfId="7" applyNumberFormat="1" applyFont="1" applyFill="1" applyBorder="1"/>
    <xf numFmtId="0" fontId="13" fillId="0" borderId="0" xfId="3" applyFont="1" applyFill="1"/>
    <xf numFmtId="0" fontId="1" fillId="0" borderId="0" xfId="3" applyFont="1" applyFill="1"/>
    <xf numFmtId="168" fontId="13" fillId="0" borderId="0" xfId="3" applyNumberFormat="1" applyFont="1" applyFill="1"/>
    <xf numFmtId="0" fontId="1" fillId="0" borderId="1" xfId="3" applyFont="1" applyFill="1" applyBorder="1" applyAlignment="1">
      <alignment horizontal="center" wrapText="1"/>
    </xf>
    <xf numFmtId="0" fontId="14" fillId="0" borderId="0" xfId="3" applyFont="1" applyFill="1"/>
    <xf numFmtId="168" fontId="1" fillId="0" borderId="0" xfId="7" applyNumberFormat="1" applyFont="1" applyFill="1" applyAlignment="1">
      <alignment horizontal="right"/>
    </xf>
    <xf numFmtId="0" fontId="8" fillId="0" borderId="0" xfId="7" applyFont="1" applyFill="1"/>
    <xf numFmtId="168" fontId="8" fillId="0" borderId="0" xfId="7" applyNumberFormat="1" applyFont="1" applyFill="1"/>
    <xf numFmtId="49" fontId="15" fillId="0" borderId="0" xfId="7" applyNumberFormat="1" applyFont="1" applyFill="1" applyBorder="1" applyAlignment="1">
      <alignment vertical="top" wrapText="1"/>
    </xf>
    <xf numFmtId="49" fontId="8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166" fontId="2" fillId="0" borderId="0" xfId="7" applyNumberFormat="1" applyFont="1" applyFill="1" applyBorder="1" applyAlignment="1"/>
    <xf numFmtId="0" fontId="16" fillId="0" borderId="0" xfId="3" applyFont="1" applyFill="1"/>
    <xf numFmtId="0" fontId="8" fillId="0" borderId="0" xfId="3" applyFont="1" applyFill="1"/>
    <xf numFmtId="170" fontId="1" fillId="0" borderId="0" xfId="7" applyNumberFormat="1" applyFont="1" applyFill="1" applyBorder="1" applyAlignment="1">
      <alignment horizontal="right"/>
    </xf>
    <xf numFmtId="168" fontId="16" fillId="0" borderId="0" xfId="3" applyNumberFormat="1" applyFont="1" applyFill="1"/>
    <xf numFmtId="171" fontId="2" fillId="0" borderId="0" xfId="3" applyNumberFormat="1" applyFont="1" applyFill="1"/>
    <xf numFmtId="0" fontId="15" fillId="0" borderId="0" xfId="3" applyFont="1" applyFill="1"/>
    <xf numFmtId="173" fontId="15" fillId="0" borderId="0" xfId="3" applyNumberFormat="1" applyFont="1" applyFill="1"/>
    <xf numFmtId="168" fontId="15" fillId="0" borderId="0" xfId="3" applyNumberFormat="1" applyFont="1" applyFill="1" applyAlignment="1">
      <alignment shrinkToFit="1"/>
    </xf>
    <xf numFmtId="1" fontId="1" fillId="0" borderId="0" xfId="7" applyNumberFormat="1" applyFont="1" applyFill="1" applyAlignment="1">
      <alignment horizontal="right"/>
    </xf>
    <xf numFmtId="0" fontId="3" fillId="0" borderId="0" xfId="3" applyFont="1" applyFill="1" applyAlignment="1">
      <alignment horizontal="right"/>
    </xf>
    <xf numFmtId="0" fontId="1" fillId="0" borderId="1" xfId="1" applyFont="1" applyFill="1" applyBorder="1" applyAlignment="1">
      <alignment horizontal="center" vertical="top"/>
    </xf>
    <xf numFmtId="167" fontId="1" fillId="0" borderId="0" xfId="0" applyNumberFormat="1" applyFont="1" applyFill="1" applyAlignment="1">
      <alignment horizontal="right"/>
    </xf>
    <xf numFmtId="0" fontId="1" fillId="0" borderId="1" xfId="1" applyFont="1" applyFill="1" applyBorder="1" applyAlignment="1">
      <alignment vertical="top"/>
    </xf>
    <xf numFmtId="168" fontId="3" fillId="0" borderId="1" xfId="3" applyNumberFormat="1" applyFont="1" applyFill="1" applyBorder="1" applyAlignment="1">
      <alignment horizontal="center" vertical="center"/>
    </xf>
    <xf numFmtId="0" fontId="2" fillId="0" borderId="1" xfId="7" applyFont="1" applyFill="1" applyBorder="1" applyAlignment="1">
      <alignment vertical="top" wrapText="1"/>
    </xf>
    <xf numFmtId="0" fontId="3" fillId="0" borderId="1" xfId="0" applyFont="1" applyFill="1" applyBorder="1"/>
    <xf numFmtId="0" fontId="3" fillId="0" borderId="0" xfId="0" applyFont="1" applyFill="1"/>
    <xf numFmtId="0" fontId="1" fillId="0" borderId="1" xfId="1" applyFont="1" applyFill="1" applyBorder="1" applyAlignment="1">
      <alignment wrapText="1"/>
    </xf>
    <xf numFmtId="167" fontId="1" fillId="0" borderId="0" xfId="1" applyNumberFormat="1" applyFont="1" applyFill="1"/>
    <xf numFmtId="166" fontId="3" fillId="0" borderId="0" xfId="0" applyNumberFormat="1" applyFont="1" applyFill="1" applyAlignment="1">
      <alignment horizontal="right"/>
    </xf>
    <xf numFmtId="0" fontId="1" fillId="0" borderId="0" xfId="3" applyFont="1" applyFill="1" applyAlignment="1">
      <alignment wrapText="1"/>
    </xf>
    <xf numFmtId="1" fontId="1" fillId="0" borderId="1" xfId="7" applyNumberFormat="1" applyFont="1" applyFill="1" applyBorder="1" applyAlignment="1">
      <alignment horizontal="center" vertical="center" wrapText="1"/>
    </xf>
    <xf numFmtId="174" fontId="8" fillId="0" borderId="0" xfId="7" applyNumberFormat="1" applyFont="1" applyFill="1" applyBorder="1" applyAlignment="1">
      <alignment horizontal="center"/>
    </xf>
    <xf numFmtId="2" fontId="8" fillId="0" borderId="0" xfId="7" applyNumberFormat="1" applyFont="1" applyFill="1" applyBorder="1" applyAlignment="1">
      <alignment horizontal="center"/>
    </xf>
    <xf numFmtId="0" fontId="1" fillId="0" borderId="1" xfId="7" applyFont="1" applyFill="1" applyBorder="1"/>
    <xf numFmtId="166" fontId="1" fillId="0" borderId="1" xfId="7" applyNumberFormat="1" applyFont="1" applyFill="1" applyBorder="1" applyAlignment="1">
      <alignment horizontal="right"/>
    </xf>
    <xf numFmtId="166" fontId="10" fillId="0" borderId="0" xfId="7" applyNumberFormat="1" applyFont="1" applyFill="1" applyBorder="1" applyAlignment="1">
      <alignment horizontal="center"/>
    </xf>
    <xf numFmtId="166" fontId="2" fillId="0" borderId="1" xfId="7" applyNumberFormat="1" applyFont="1" applyFill="1" applyBorder="1" applyAlignment="1">
      <alignment horizontal="right"/>
    </xf>
    <xf numFmtId="2" fontId="10" fillId="0" borderId="0" xfId="7" applyNumberFormat="1" applyFont="1" applyFill="1" applyBorder="1" applyAlignment="1">
      <alignment horizontal="center"/>
    </xf>
    <xf numFmtId="1" fontId="2" fillId="0" borderId="0" xfId="7" applyNumberFormat="1" applyFont="1" applyFill="1"/>
    <xf numFmtId="173" fontId="16" fillId="0" borderId="0" xfId="3" applyNumberFormat="1" applyFont="1" applyFill="1"/>
    <xf numFmtId="10" fontId="1" fillId="0" borderId="0" xfId="3" applyNumberFormat="1" applyFont="1" applyFill="1"/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0" xfId="7" applyFont="1" applyFill="1"/>
    <xf numFmtId="170" fontId="1" fillId="0" borderId="1" xfId="1" applyNumberFormat="1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vertical="top" wrapText="1"/>
    </xf>
    <xf numFmtId="175" fontId="4" fillId="0" borderId="11" xfId="13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9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167" fontId="1" fillId="0" borderId="1" xfId="1" applyNumberFormat="1" applyFont="1" applyFill="1" applyBorder="1" applyAlignment="1"/>
    <xf numFmtId="167" fontId="2" fillId="0" borderId="1" xfId="1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23" fillId="0" borderId="0" xfId="0" applyFont="1" applyFill="1"/>
    <xf numFmtId="166" fontId="1" fillId="0" borderId="0" xfId="1" applyNumberFormat="1" applyFont="1" applyFill="1"/>
    <xf numFmtId="0" fontId="4" fillId="0" borderId="5" xfId="3" applyFont="1" applyFill="1" applyBorder="1" applyAlignment="1">
      <alignment horizontal="center" vertical="top"/>
    </xf>
    <xf numFmtId="0" fontId="4" fillId="0" borderId="12" xfId="3" applyFont="1" applyFill="1" applyBorder="1" applyAlignment="1">
      <alignment horizontal="center" vertical="top"/>
    </xf>
    <xf numFmtId="0" fontId="3" fillId="0" borderId="12" xfId="3" applyFont="1" applyFill="1" applyBorder="1" applyAlignment="1">
      <alignment horizontal="center" vertical="top"/>
    </xf>
    <xf numFmtId="1" fontId="3" fillId="0" borderId="0" xfId="7" applyNumberFormat="1" applyFont="1" applyFill="1" applyBorder="1" applyAlignment="1">
      <alignment horizontal="center"/>
    </xf>
    <xf numFmtId="170" fontId="1" fillId="0" borderId="0" xfId="1" applyNumberFormat="1" applyFont="1" applyFill="1" applyBorder="1" applyAlignment="1">
      <alignment horizontal="center"/>
    </xf>
    <xf numFmtId="168" fontId="3" fillId="0" borderId="0" xfId="3" applyNumberFormat="1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/>
    </xf>
    <xf numFmtId="0" fontId="1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wrapText="1"/>
    </xf>
    <xf numFmtId="175" fontId="4" fillId="0" borderId="12" xfId="13" applyNumberFormat="1" applyFont="1" applyFill="1" applyBorder="1" applyAlignment="1">
      <alignment horizontal="right" vertical="center"/>
    </xf>
    <xf numFmtId="168" fontId="16" fillId="0" borderId="0" xfId="3" applyNumberFormat="1" applyFont="1" applyFill="1" applyBorder="1"/>
    <xf numFmtId="0" fontId="4" fillId="0" borderId="8" xfId="3" applyFont="1" applyFill="1" applyBorder="1" applyAlignment="1">
      <alignment vertical="top" wrapText="1"/>
    </xf>
    <xf numFmtId="0" fontId="4" fillId="0" borderId="11" xfId="3" applyFont="1" applyFill="1" applyBorder="1" applyAlignment="1">
      <alignment wrapText="1"/>
    </xf>
    <xf numFmtId="0" fontId="1" fillId="0" borderId="0" xfId="7" applyFont="1" applyFill="1" applyBorder="1" applyAlignment="1">
      <alignment horizontal="left"/>
    </xf>
    <xf numFmtId="0" fontId="1" fillId="0" borderId="0" xfId="7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/>
    </xf>
    <xf numFmtId="0" fontId="1" fillId="0" borderId="1" xfId="7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justify"/>
    </xf>
    <xf numFmtId="0" fontId="1" fillId="0" borderId="0" xfId="3" applyFont="1" applyFill="1" applyBorder="1" applyAlignment="1">
      <alignment horizontal="left" wrapText="1"/>
    </xf>
    <xf numFmtId="0" fontId="1" fillId="0" borderId="0" xfId="3" applyFont="1" applyFill="1" applyBorder="1" applyAlignment="1">
      <alignment horizontal="center"/>
    </xf>
    <xf numFmtId="0" fontId="7" fillId="0" borderId="0" xfId="7" applyFont="1" applyFill="1"/>
    <xf numFmtId="0" fontId="3" fillId="0" borderId="0" xfId="0" applyFont="1" applyFill="1" applyAlignment="1"/>
    <xf numFmtId="0" fontId="4" fillId="0" borderId="1" xfId="0" applyFont="1" applyFill="1" applyBorder="1" applyAlignment="1">
      <alignment vertical="top"/>
    </xf>
    <xf numFmtId="166" fontId="4" fillId="0" borderId="1" xfId="0" applyNumberFormat="1" applyFont="1" applyFill="1" applyBorder="1" applyAlignment="1">
      <alignment vertical="top"/>
    </xf>
    <xf numFmtId="166" fontId="3" fillId="0" borderId="1" xfId="0" applyNumberFormat="1" applyFont="1" applyFill="1" applyBorder="1"/>
    <xf numFmtId="2" fontId="1" fillId="0" borderId="0" xfId="3" applyNumberFormat="1" applyFont="1" applyFill="1" applyAlignment="1">
      <alignment horizontal="center"/>
    </xf>
    <xf numFmtId="175" fontId="3" fillId="0" borderId="11" xfId="0" applyNumberFormat="1" applyFont="1" applyFill="1" applyBorder="1"/>
    <xf numFmtId="175" fontId="3" fillId="0" borderId="0" xfId="0" applyNumberFormat="1" applyFont="1" applyFill="1" applyBorder="1"/>
    <xf numFmtId="168" fontId="25" fillId="0" borderId="0" xfId="3" applyNumberFormat="1" applyFont="1" applyFill="1"/>
    <xf numFmtId="0" fontId="1" fillId="0" borderId="0" xfId="3" applyFont="1"/>
    <xf numFmtId="0" fontId="8" fillId="0" borderId="0" xfId="3" applyFont="1"/>
    <xf numFmtId="0" fontId="8" fillId="0" borderId="0" xfId="3" applyFont="1" applyAlignment="1">
      <alignment wrapText="1"/>
    </xf>
    <xf numFmtId="168" fontId="8" fillId="0" borderId="0" xfId="3" applyNumberFormat="1" applyFont="1" applyAlignment="1">
      <alignment horizontal="right"/>
    </xf>
    <xf numFmtId="0" fontId="1" fillId="0" borderId="6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justify" vertical="top" wrapText="1"/>
    </xf>
    <xf numFmtId="0" fontId="1" fillId="0" borderId="8" xfId="3" applyFont="1" applyBorder="1" applyAlignment="1">
      <alignment horizontal="justify" vertical="top" wrapText="1"/>
    </xf>
    <xf numFmtId="0" fontId="1" fillId="0" borderId="0" xfId="3" applyFont="1" applyBorder="1"/>
    <xf numFmtId="0" fontId="1" fillId="0" borderId="15" xfId="3" applyFont="1" applyBorder="1" applyAlignment="1">
      <alignment horizontal="left" wrapText="1"/>
    </xf>
    <xf numFmtId="0" fontId="1" fillId="0" borderId="11" xfId="3" applyFont="1" applyBorder="1" applyAlignment="1">
      <alignment horizontal="left" wrapText="1"/>
    </xf>
    <xf numFmtId="0" fontId="1" fillId="0" borderId="0" xfId="3" applyFont="1" applyBorder="1" applyAlignment="1">
      <alignment horizontal="center" wrapText="1"/>
    </xf>
    <xf numFmtId="0" fontId="1" fillId="0" borderId="14" xfId="3" applyFont="1" applyBorder="1" applyAlignment="1">
      <alignment horizontal="left" wrapText="1"/>
    </xf>
    <xf numFmtId="0" fontId="1" fillId="0" borderId="10" xfId="3" applyFont="1" applyBorder="1" applyAlignment="1">
      <alignment horizontal="left" wrapText="1"/>
    </xf>
    <xf numFmtId="0" fontId="1" fillId="0" borderId="0" xfId="3" applyFont="1" applyAlignment="1">
      <alignment horizontal="center"/>
    </xf>
    <xf numFmtId="0" fontId="1" fillId="0" borderId="5" xfId="3" applyFont="1" applyBorder="1" applyAlignment="1">
      <alignment horizontal="justify" vertical="top" wrapText="1"/>
    </xf>
    <xf numFmtId="0" fontId="1" fillId="0" borderId="12" xfId="3" applyFont="1" applyBorder="1" applyAlignment="1">
      <alignment horizontal="left" wrapText="1"/>
    </xf>
    <xf numFmtId="0" fontId="1" fillId="0" borderId="13" xfId="3" applyFont="1" applyBorder="1" applyAlignment="1">
      <alignment horizontal="left"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1" xfId="3" applyFont="1" applyFill="1" applyBorder="1" applyAlignment="1">
      <alignment vertical="top" wrapText="1"/>
    </xf>
    <xf numFmtId="0" fontId="3" fillId="0" borderId="11" xfId="3" applyFont="1" applyFill="1" applyBorder="1" applyAlignment="1">
      <alignment vertical="top" wrapText="1"/>
    </xf>
    <xf numFmtId="175" fontId="3" fillId="0" borderId="11" xfId="13" applyNumberFormat="1" applyFont="1" applyFill="1" applyBorder="1" applyAlignment="1">
      <alignment horizontal="right" vertical="center"/>
    </xf>
    <xf numFmtId="167" fontId="1" fillId="0" borderId="5" xfId="3" applyNumberFormat="1" applyFont="1" applyFill="1" applyBorder="1" applyAlignment="1">
      <alignment horizontal="center"/>
    </xf>
    <xf numFmtId="167" fontId="1" fillId="0" borderId="12" xfId="3" applyNumberFormat="1" applyFont="1" applyFill="1" applyBorder="1" applyAlignment="1">
      <alignment horizontal="center"/>
    </xf>
    <xf numFmtId="167" fontId="1" fillId="0" borderId="13" xfId="3" applyNumberFormat="1" applyFont="1" applyFill="1" applyBorder="1" applyAlignment="1">
      <alignment horizontal="center"/>
    </xf>
    <xf numFmtId="0" fontId="19" fillId="2" borderId="0" xfId="0" applyFont="1" applyFill="1"/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vertical="top" wrapText="1"/>
    </xf>
    <xf numFmtId="49" fontId="8" fillId="2" borderId="0" xfId="0" applyNumberFormat="1" applyFont="1" applyFill="1" applyBorder="1" applyAlignment="1">
      <alignment horizontal="center"/>
    </xf>
    <xf numFmtId="168" fontId="19" fillId="2" borderId="0" xfId="0" applyNumberFormat="1" applyFont="1" applyFill="1" applyBorder="1" applyAlignment="1"/>
    <xf numFmtId="168" fontId="8" fillId="2" borderId="0" xfId="0" applyNumberFormat="1" applyFont="1" applyFill="1" applyAlignment="1">
      <alignment horizontal="center"/>
    </xf>
    <xf numFmtId="0" fontId="8" fillId="2" borderId="0" xfId="0" applyFont="1" applyFill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vertical="top" wrapText="1"/>
    </xf>
    <xf numFmtId="49" fontId="1" fillId="2" borderId="1" xfId="6" applyNumberFormat="1" applyFont="1" applyFill="1" applyBorder="1" applyAlignment="1">
      <alignment horizontal="center" vertical="top" wrapText="1"/>
    </xf>
    <xf numFmtId="49" fontId="1" fillId="2" borderId="1" xfId="6" applyNumberFormat="1" applyFont="1" applyFill="1" applyBorder="1" applyAlignment="1">
      <alignment horizontal="center" vertical="top"/>
    </xf>
    <xf numFmtId="49" fontId="1" fillId="2" borderId="2" xfId="6" applyNumberFormat="1" applyFont="1" applyFill="1" applyBorder="1" applyAlignment="1">
      <alignment horizontal="center" vertical="top"/>
    </xf>
    <xf numFmtId="49" fontId="1" fillId="2" borderId="9" xfId="6" applyNumberFormat="1" applyFont="1" applyFill="1" applyBorder="1" applyAlignment="1">
      <alignment horizontal="center" vertical="top"/>
    </xf>
    <xf numFmtId="49" fontId="1" fillId="2" borderId="3" xfId="6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right"/>
    </xf>
    <xf numFmtId="49" fontId="1" fillId="2" borderId="3" xfId="4" applyNumberFormat="1" applyFont="1" applyFill="1" applyBorder="1" applyAlignment="1" applyProtection="1">
      <alignment horizontal="left" wrapText="1"/>
      <protection hidden="1"/>
    </xf>
    <xf numFmtId="49" fontId="1" fillId="2" borderId="3" xfId="5" applyNumberFormat="1" applyFont="1" applyFill="1" applyBorder="1" applyAlignment="1">
      <alignment horizontal="left" wrapText="1"/>
    </xf>
    <xf numFmtId="49" fontId="1" fillId="2" borderId="3" xfId="6" applyNumberFormat="1" applyFont="1" applyFill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 wrapText="1"/>
    </xf>
    <xf numFmtId="49" fontId="1" fillId="2" borderId="3" xfId="5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5" applyNumberFormat="1" applyFont="1" applyFill="1" applyBorder="1" applyAlignment="1">
      <alignment horizontal="center"/>
    </xf>
    <xf numFmtId="49" fontId="1" fillId="2" borderId="9" xfId="5" applyNumberFormat="1" applyFont="1" applyFill="1" applyBorder="1" applyAlignment="1">
      <alignment horizontal="center"/>
    </xf>
    <xf numFmtId="49" fontId="1" fillId="2" borderId="3" xfId="5" applyNumberFormat="1" applyFont="1" applyFill="1" applyBorder="1" applyAlignment="1">
      <alignment horizontal="center"/>
    </xf>
    <xf numFmtId="49" fontId="1" fillId="2" borderId="6" xfId="6" applyNumberFormat="1" applyFont="1" applyFill="1" applyBorder="1" applyAlignment="1">
      <alignment horizontal="center"/>
    </xf>
    <xf numFmtId="49" fontId="1" fillId="2" borderId="7" xfId="5" applyNumberFormat="1" applyFont="1" applyFill="1" applyBorder="1" applyAlignment="1">
      <alignment horizontal="center"/>
    </xf>
    <xf numFmtId="49" fontId="1" fillId="2" borderId="8" xfId="5" applyNumberFormat="1" applyFont="1" applyFill="1" applyBorder="1" applyAlignment="1">
      <alignment horizontal="center"/>
    </xf>
    <xf numFmtId="49" fontId="1" fillId="2" borderId="2" xfId="6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66" fontId="19" fillId="2" borderId="0" xfId="0" applyNumberFormat="1" applyFont="1" applyFill="1"/>
    <xf numFmtId="166" fontId="3" fillId="2" borderId="0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left" vertical="top" wrapText="1"/>
    </xf>
    <xf numFmtId="49" fontId="1" fillId="0" borderId="0" xfId="3" applyNumberFormat="1" applyFont="1" applyFill="1" applyBorder="1" applyAlignment="1">
      <alignment horizontal="center" vertical="top"/>
    </xf>
    <xf numFmtId="0" fontId="1" fillId="0" borderId="0" xfId="3" applyFont="1" applyFill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right"/>
    </xf>
    <xf numFmtId="0" fontId="1" fillId="0" borderId="0" xfId="3" applyFont="1" applyAlignment="1">
      <alignment wrapText="1"/>
    </xf>
    <xf numFmtId="0" fontId="1" fillId="0" borderId="1" xfId="3" applyFont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23" fillId="2" borderId="0" xfId="0" applyFont="1" applyFill="1"/>
    <xf numFmtId="166" fontId="3" fillId="0" borderId="0" xfId="0" applyNumberFormat="1" applyFont="1" applyFill="1" applyBorder="1"/>
    <xf numFmtId="11" fontId="1" fillId="2" borderId="3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2" borderId="0" xfId="7" applyFont="1" applyFill="1" applyBorder="1" applyAlignment="1">
      <alignment horizontal="left"/>
    </xf>
    <xf numFmtId="49" fontId="10" fillId="2" borderId="0" xfId="7" applyNumberFormat="1" applyFont="1" applyFill="1" applyBorder="1" applyAlignment="1">
      <alignment vertical="top" wrapText="1"/>
    </xf>
    <xf numFmtId="49" fontId="11" fillId="2" borderId="0" xfId="7" applyNumberFormat="1" applyFont="1" applyFill="1" applyBorder="1" applyAlignment="1">
      <alignment horizontal="center"/>
    </xf>
    <xf numFmtId="166" fontId="4" fillId="2" borderId="0" xfId="7" applyNumberFormat="1" applyFont="1" applyFill="1" applyBorder="1" applyAlignment="1"/>
    <xf numFmtId="168" fontId="11" fillId="2" borderId="0" xfId="7" applyNumberFormat="1" applyFont="1" applyFill="1"/>
    <xf numFmtId="0" fontId="11" fillId="2" borderId="0" xfId="7" applyFont="1" applyFill="1"/>
    <xf numFmtId="0" fontId="3" fillId="2" borderId="0" xfId="7" applyFont="1" applyFill="1" applyAlignment="1">
      <alignment horizontal="left"/>
    </xf>
    <xf numFmtId="168" fontId="3" fillId="2" borderId="0" xfId="7" applyNumberFormat="1" applyFont="1" applyFill="1" applyAlignment="1">
      <alignment horizontal="right"/>
    </xf>
    <xf numFmtId="0" fontId="6" fillId="2" borderId="0" xfId="0" applyFont="1" applyFill="1"/>
    <xf numFmtId="166" fontId="4" fillId="2" borderId="0" xfId="0" applyNumberFormat="1" applyFont="1" applyFill="1" applyAlignment="1">
      <alignment horizontal="center"/>
    </xf>
    <xf numFmtId="166" fontId="3" fillId="2" borderId="0" xfId="1" applyNumberFormat="1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4" fillId="2" borderId="1" xfId="7" applyFont="1" applyFill="1" applyBorder="1" applyAlignment="1">
      <alignment vertical="top" wrapText="1"/>
    </xf>
    <xf numFmtId="166" fontId="4" fillId="2" borderId="1" xfId="0" applyNumberFormat="1" applyFont="1" applyFill="1" applyBorder="1" applyAlignment="1">
      <alignment horizontal="right" vertical="top"/>
    </xf>
    <xf numFmtId="0" fontId="6" fillId="2" borderId="1" xfId="1" applyFont="1" applyFill="1" applyBorder="1" applyAlignment="1">
      <alignment horizontal="center" vertical="top"/>
    </xf>
    <xf numFmtId="0" fontId="3" fillId="2" borderId="0" xfId="1" applyFont="1" applyFill="1"/>
    <xf numFmtId="49" fontId="3" fillId="2" borderId="0" xfId="5" applyNumberFormat="1" applyFont="1" applyFill="1" applyBorder="1" applyAlignment="1">
      <alignment horizontal="center" vertical="top" wrapText="1"/>
    </xf>
    <xf numFmtId="0" fontId="3" fillId="2" borderId="0" xfId="5" applyNumberFormat="1" applyFont="1" applyFill="1" applyBorder="1" applyAlignment="1">
      <alignment horizontal="left" wrapText="1"/>
    </xf>
    <xf numFmtId="166" fontId="3" fillId="2" borderId="0" xfId="5" applyNumberFormat="1" applyFont="1" applyFill="1" applyBorder="1" applyAlignment="1">
      <alignment horizontal="right" wrapText="1"/>
    </xf>
    <xf numFmtId="49" fontId="32" fillId="2" borderId="0" xfId="7" applyNumberFormat="1" applyFont="1" applyFill="1" applyBorder="1" applyAlignment="1">
      <alignment horizontal="center"/>
    </xf>
    <xf numFmtId="166" fontId="3" fillId="2" borderId="0" xfId="0" applyNumberFormat="1" applyFont="1" applyFill="1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left" vertical="top"/>
    </xf>
    <xf numFmtId="0" fontId="3" fillId="2" borderId="0" xfId="7" applyFont="1" applyFill="1" applyAlignment="1">
      <alignment horizontal="left" vertical="top"/>
    </xf>
    <xf numFmtId="166" fontId="3" fillId="2" borderId="1" xfId="0" applyNumberFormat="1" applyFont="1" applyFill="1" applyBorder="1" applyAlignment="1">
      <alignment horizontal="right" vertical="top"/>
    </xf>
    <xf numFmtId="166" fontId="6" fillId="2" borderId="1" xfId="0" applyNumberFormat="1" applyFont="1" applyFill="1" applyBorder="1" applyAlignment="1">
      <alignment vertical="top"/>
    </xf>
    <xf numFmtId="166" fontId="6" fillId="2" borderId="1" xfId="0" applyNumberFormat="1" applyFont="1" applyFill="1" applyBorder="1" applyAlignment="1">
      <alignment horizontal="right" vertical="top"/>
    </xf>
    <xf numFmtId="166" fontId="6" fillId="2" borderId="1" xfId="1" applyNumberFormat="1" applyFont="1" applyFill="1" applyBorder="1" applyAlignment="1">
      <alignment vertical="top"/>
    </xf>
    <xf numFmtId="166" fontId="3" fillId="2" borderId="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center" vertical="top"/>
    </xf>
    <xf numFmtId="0" fontId="29" fillId="2" borderId="0" xfId="0" applyFont="1" applyFill="1" applyAlignment="1">
      <alignment horizontal="center" vertical="top"/>
    </xf>
    <xf numFmtId="0" fontId="31" fillId="0" borderId="0" xfId="1" applyFont="1" applyFill="1"/>
    <xf numFmtId="0" fontId="3" fillId="2" borderId="1" xfId="0" applyFont="1" applyFill="1" applyBorder="1" applyAlignment="1">
      <alignment horizontal="justify" vertical="top"/>
    </xf>
    <xf numFmtId="0" fontId="23" fillId="2" borderId="0" xfId="0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1" xfId="5" applyFont="1" applyFill="1" applyBorder="1" applyAlignment="1">
      <alignment horizontal="justify" vertical="top" wrapText="1"/>
    </xf>
    <xf numFmtId="0" fontId="23" fillId="2" borderId="0" xfId="5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167" fontId="4" fillId="2" borderId="1" xfId="0" applyNumberFormat="1" applyFont="1" applyFill="1" applyBorder="1"/>
    <xf numFmtId="167" fontId="3" fillId="2" borderId="1" xfId="0" applyNumberFormat="1" applyFont="1" applyFill="1" applyBorder="1"/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166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center" vertical="top"/>
    </xf>
    <xf numFmtId="166" fontId="1" fillId="2" borderId="1" xfId="0" applyNumberFormat="1" applyFont="1" applyFill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vertical="top"/>
    </xf>
    <xf numFmtId="166" fontId="1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vertical="top" wrapText="1"/>
    </xf>
    <xf numFmtId="166" fontId="3" fillId="2" borderId="0" xfId="0" applyNumberFormat="1" applyFont="1" applyFill="1" applyAlignment="1">
      <alignment horizontal="left" vertical="top" wrapText="1"/>
    </xf>
    <xf numFmtId="166" fontId="1" fillId="2" borderId="1" xfId="0" applyNumberFormat="1" applyFont="1" applyFill="1" applyBorder="1" applyAlignment="1">
      <alignment wrapText="1"/>
    </xf>
    <xf numFmtId="166" fontId="1" fillId="0" borderId="13" xfId="3" applyNumberFormat="1" applyFont="1" applyBorder="1" applyAlignment="1">
      <alignment horizontal="center"/>
    </xf>
    <xf numFmtId="167" fontId="1" fillId="0" borderId="5" xfId="3" applyNumberFormat="1" applyFont="1" applyBorder="1" applyAlignment="1">
      <alignment horizontal="center"/>
    </xf>
    <xf numFmtId="167" fontId="1" fillId="0" borderId="12" xfId="3" applyNumberFormat="1" applyFont="1" applyBorder="1" applyAlignment="1">
      <alignment horizontal="center"/>
    </xf>
    <xf numFmtId="167" fontId="1" fillId="0" borderId="13" xfId="3" applyNumberFormat="1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/>
    <xf numFmtId="0" fontId="19" fillId="2" borderId="0" xfId="0" applyFont="1" applyFill="1" applyBorder="1"/>
    <xf numFmtId="166" fontId="3" fillId="2" borderId="0" xfId="0" applyNumberFormat="1" applyFont="1" applyFill="1" applyBorder="1"/>
    <xf numFmtId="166" fontId="19" fillId="2" borderId="0" xfId="0" applyNumberFormat="1" applyFont="1" applyFill="1" applyBorder="1"/>
    <xf numFmtId="0" fontId="8" fillId="2" borderId="0" xfId="7" applyFont="1" applyFill="1" applyAlignment="1">
      <alignment horizontal="center"/>
    </xf>
    <xf numFmtId="49" fontId="8" fillId="2" borderId="0" xfId="7" applyNumberFormat="1" applyFont="1" applyFill="1" applyAlignment="1">
      <alignment vertical="top" wrapText="1"/>
    </xf>
    <xf numFmtId="49" fontId="8" fillId="2" borderId="0" xfId="7" applyNumberFormat="1" applyFont="1" applyFill="1" applyAlignment="1">
      <alignment horizontal="center"/>
    </xf>
    <xf numFmtId="166" fontId="8" fillId="2" borderId="0" xfId="7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8" fillId="2" borderId="0" xfId="7" applyFont="1" applyFill="1"/>
    <xf numFmtId="166" fontId="8" fillId="2" borderId="0" xfId="7" applyNumberFormat="1" applyFont="1" applyFill="1"/>
    <xf numFmtId="0" fontId="8" fillId="2" borderId="0" xfId="7" applyFont="1" applyFill="1" applyBorder="1" applyAlignment="1">
      <alignment horizontal="center" vertical="top"/>
    </xf>
    <xf numFmtId="49" fontId="15" fillId="2" borderId="0" xfId="7" applyNumberFormat="1" applyFont="1" applyFill="1" applyBorder="1" applyAlignment="1">
      <alignment vertical="top" wrapText="1"/>
    </xf>
    <xf numFmtId="49" fontId="8" fillId="2" borderId="0" xfId="7" applyNumberFormat="1" applyFont="1" applyFill="1" applyBorder="1" applyAlignment="1">
      <alignment horizontal="center"/>
    </xf>
    <xf numFmtId="166" fontId="1" fillId="2" borderId="4" xfId="7" applyNumberFormat="1" applyFont="1" applyFill="1" applyBorder="1" applyAlignment="1">
      <alignment horizontal="right"/>
    </xf>
    <xf numFmtId="166" fontId="1" fillId="2" borderId="1" xfId="7" applyNumberFormat="1" applyFont="1" applyFill="1" applyBorder="1" applyAlignment="1">
      <alignment horizontal="center" vertical="center"/>
    </xf>
    <xf numFmtId="0" fontId="1" fillId="2" borderId="1" xfId="7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vertical="top" wrapText="1"/>
    </xf>
    <xf numFmtId="49" fontId="1" fillId="2" borderId="1" xfId="7" applyNumberFormat="1" applyFont="1" applyFill="1" applyBorder="1" applyAlignment="1">
      <alignment horizontal="center"/>
    </xf>
    <xf numFmtId="1" fontId="1" fillId="2" borderId="1" xfId="7" applyNumberFormat="1" applyFont="1" applyFill="1" applyBorder="1" applyAlignment="1">
      <alignment horizontal="center"/>
    </xf>
    <xf numFmtId="0" fontId="1" fillId="2" borderId="1" xfId="7" applyFont="1" applyFill="1" applyBorder="1" applyAlignment="1">
      <alignment horizontal="center" vertical="top"/>
    </xf>
    <xf numFmtId="49" fontId="2" fillId="2" borderId="1" xfId="7" applyNumberFormat="1" applyFont="1" applyFill="1" applyBorder="1" applyAlignment="1">
      <alignment horizontal="left" vertical="top" wrapText="1"/>
    </xf>
    <xf numFmtId="49" fontId="1" fillId="2" borderId="9" xfId="7" applyNumberFormat="1" applyFont="1" applyFill="1" applyBorder="1" applyAlignment="1">
      <alignment horizontal="center" vertical="top"/>
    </xf>
    <xf numFmtId="49" fontId="1" fillId="2" borderId="1" xfId="7" applyNumberFormat="1" applyFont="1" applyFill="1" applyBorder="1" applyAlignment="1">
      <alignment horizontal="center" vertical="top"/>
    </xf>
    <xf numFmtId="166" fontId="2" fillId="2" borderId="1" xfId="7" applyNumberFormat="1" applyFont="1" applyFill="1" applyBorder="1" applyAlignment="1">
      <alignment horizontal="right" vertical="top"/>
    </xf>
    <xf numFmtId="176" fontId="33" fillId="2" borderId="0" xfId="7" applyNumberFormat="1" applyFont="1" applyFill="1"/>
    <xf numFmtId="0" fontId="2" fillId="2" borderId="1" xfId="5" applyFont="1" applyFill="1" applyBorder="1" applyAlignment="1">
      <alignment horizontal="center" vertical="top"/>
    </xf>
    <xf numFmtId="49" fontId="2" fillId="2" borderId="1" xfId="7" applyNumberFormat="1" applyFont="1" applyFill="1" applyBorder="1" applyAlignment="1">
      <alignment horizontal="left" wrapText="1"/>
    </xf>
    <xf numFmtId="49" fontId="2" fillId="2" borderId="4" xfId="7" applyNumberFormat="1" applyFont="1" applyFill="1" applyBorder="1" applyAlignment="1">
      <alignment horizontal="center"/>
    </xf>
    <xf numFmtId="49" fontId="2" fillId="2" borderId="10" xfId="7" applyNumberFormat="1" applyFont="1" applyFill="1" applyBorder="1" applyAlignment="1">
      <alignment horizontal="center"/>
    </xf>
    <xf numFmtId="49" fontId="2" fillId="2" borderId="1" xfId="7" applyNumberFormat="1" applyFont="1" applyFill="1" applyBorder="1" applyAlignment="1">
      <alignment horizontal="center"/>
    </xf>
    <xf numFmtId="166" fontId="2" fillId="2" borderId="1" xfId="7" applyNumberFormat="1" applyFont="1" applyFill="1" applyBorder="1" applyAlignment="1">
      <alignment horizontal="right"/>
    </xf>
    <xf numFmtId="0" fontId="15" fillId="2" borderId="0" xfId="7" applyFont="1" applyFill="1"/>
    <xf numFmtId="49" fontId="1" fillId="2" borderId="1" xfId="0" applyNumberFormat="1" applyFont="1" applyFill="1" applyBorder="1" applyAlignment="1">
      <alignment wrapText="1"/>
    </xf>
    <xf numFmtId="166" fontId="1" fillId="2" borderId="1" xfId="7" applyNumberFormat="1" applyFont="1" applyFill="1" applyBorder="1" applyAlignment="1">
      <alignment horizontal="right"/>
    </xf>
    <xf numFmtId="49" fontId="1" fillId="2" borderId="1" xfId="5" applyNumberFormat="1" applyFont="1" applyFill="1" applyBorder="1" applyAlignment="1">
      <alignment horizontal="left" wrapText="1"/>
    </xf>
    <xf numFmtId="49" fontId="1" fillId="2" borderId="19" xfId="11" applyNumberFormat="1" applyFont="1" applyFill="1" applyBorder="1" applyAlignment="1">
      <alignment wrapText="1"/>
    </xf>
    <xf numFmtId="49" fontId="1" fillId="2" borderId="17" xfId="11" applyNumberFormat="1" applyFont="1" applyFill="1" applyBorder="1" applyAlignment="1">
      <alignment horizontal="center"/>
    </xf>
    <xf numFmtId="49" fontId="1" fillId="2" borderId="18" xfId="16" applyNumberFormat="1" applyFont="1" applyFill="1" applyBorder="1" applyAlignment="1">
      <alignment horizontal="center"/>
    </xf>
    <xf numFmtId="49" fontId="1" fillId="2" borderId="19" xfId="16" applyNumberFormat="1" applyFont="1" applyFill="1" applyBorder="1" applyAlignment="1">
      <alignment horizontal="center"/>
    </xf>
    <xf numFmtId="49" fontId="1" fillId="2" borderId="16" xfId="16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wrapText="1"/>
    </xf>
    <xf numFmtId="49" fontId="1" fillId="2" borderId="1" xfId="7" applyNumberFormat="1" applyFont="1" applyFill="1" applyBorder="1" applyAlignment="1">
      <alignment wrapText="1"/>
    </xf>
    <xf numFmtId="0" fontId="2" fillId="2" borderId="1" xfId="7" applyFont="1" applyFill="1" applyBorder="1" applyAlignment="1">
      <alignment horizontal="center" vertical="top"/>
    </xf>
    <xf numFmtId="49" fontId="2" fillId="2" borderId="9" xfId="7" applyNumberFormat="1" applyFont="1" applyFill="1" applyBorder="1" applyAlignment="1">
      <alignment horizontal="center"/>
    </xf>
    <xf numFmtId="49" fontId="2" fillId="2" borderId="3" xfId="7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1" xfId="4" applyNumberFormat="1" applyFont="1" applyFill="1" applyBorder="1" applyAlignment="1" applyProtection="1">
      <alignment horizontal="left" wrapText="1"/>
      <protection hidden="1"/>
    </xf>
    <xf numFmtId="0" fontId="8" fillId="2" borderId="1" xfId="7" applyFont="1" applyFill="1" applyBorder="1" applyAlignment="1">
      <alignment horizontal="center" vertical="top"/>
    </xf>
    <xf numFmtId="166" fontId="1" fillId="2" borderId="1" xfId="7" applyNumberFormat="1" applyFont="1" applyFill="1" applyBorder="1" applyAlignment="1"/>
    <xf numFmtId="49" fontId="1" fillId="2" borderId="9" xfId="6" applyNumberFormat="1" applyFont="1" applyFill="1" applyBorder="1" applyAlignment="1">
      <alignment horizontal="center"/>
    </xf>
    <xf numFmtId="49" fontId="1" fillId="2" borderId="3" xfId="6" applyNumberFormat="1" applyFont="1" applyFill="1" applyBorder="1" applyAlignment="1">
      <alignment horizontal="center"/>
    </xf>
    <xf numFmtId="49" fontId="1" fillId="2" borderId="1" xfId="6" applyNumberFormat="1" applyFont="1" applyFill="1" applyBorder="1" applyAlignment="1">
      <alignment horizontal="center"/>
    </xf>
    <xf numFmtId="49" fontId="1" fillId="2" borderId="4" xfId="7" applyNumberFormat="1" applyFont="1" applyFill="1" applyBorder="1" applyAlignment="1">
      <alignment horizontal="center"/>
    </xf>
    <xf numFmtId="49" fontId="1" fillId="2" borderId="0" xfId="7" applyNumberFormat="1" applyFont="1" applyFill="1" applyBorder="1" applyAlignment="1">
      <alignment horizontal="center"/>
    </xf>
    <xf numFmtId="49" fontId="1" fillId="2" borderId="11" xfId="7" applyNumberFormat="1" applyFont="1" applyFill="1" applyBorder="1" applyAlignment="1">
      <alignment horizontal="center"/>
    </xf>
    <xf numFmtId="49" fontId="2" fillId="2" borderId="1" xfId="7" applyNumberFormat="1" applyFont="1" applyFill="1" applyBorder="1" applyAlignment="1">
      <alignment wrapText="1"/>
    </xf>
    <xf numFmtId="49" fontId="1" fillId="2" borderId="1" xfId="6" applyNumberFormat="1" applyFont="1" applyFill="1" applyBorder="1" applyAlignment="1">
      <alignment horizontal="left" wrapText="1"/>
    </xf>
    <xf numFmtId="0" fontId="1" fillId="2" borderId="1" xfId="5" applyFont="1" applyFill="1" applyBorder="1" applyAlignment="1">
      <alignment horizontal="center" vertical="top"/>
    </xf>
    <xf numFmtId="49" fontId="1" fillId="2" borderId="10" xfId="0" applyNumberFormat="1" applyFont="1" applyFill="1" applyBorder="1" applyAlignment="1">
      <alignment horizontal="center"/>
    </xf>
    <xf numFmtId="49" fontId="2" fillId="2" borderId="1" xfId="5" applyNumberFormat="1" applyFont="1" applyFill="1" applyBorder="1" applyAlignment="1">
      <alignment horizontal="left" wrapText="1"/>
    </xf>
    <xf numFmtId="49" fontId="2" fillId="2" borderId="9" xfId="6" applyNumberFormat="1" applyFont="1" applyFill="1" applyBorder="1" applyAlignment="1">
      <alignment horizontal="center"/>
    </xf>
    <xf numFmtId="168" fontId="2" fillId="2" borderId="1" xfId="7" applyNumberFormat="1" applyFont="1" applyFill="1" applyBorder="1" applyAlignment="1">
      <alignment horizontal="center"/>
    </xf>
    <xf numFmtId="49" fontId="1" fillId="2" borderId="1" xfId="5" applyNumberFormat="1" applyFont="1" applyFill="1" applyBorder="1" applyAlignment="1">
      <alignment wrapText="1"/>
    </xf>
    <xf numFmtId="49" fontId="1" fillId="2" borderId="6" xfId="11" applyNumberFormat="1" applyFont="1" applyFill="1" applyBorder="1" applyAlignment="1">
      <alignment horizontal="center"/>
    </xf>
    <xf numFmtId="49" fontId="1" fillId="2" borderId="2" xfId="11" applyNumberFormat="1" applyFont="1" applyFill="1" applyBorder="1" applyAlignment="1">
      <alignment horizontal="center"/>
    </xf>
    <xf numFmtId="49" fontId="1" fillId="2" borderId="0" xfId="5" applyNumberFormat="1" applyFont="1" applyFill="1" applyBorder="1" applyAlignment="1">
      <alignment horizontal="center"/>
    </xf>
    <xf numFmtId="49" fontId="1" fillId="2" borderId="21" xfId="14" applyNumberFormat="1" applyFont="1" applyFill="1" applyBorder="1" applyAlignment="1">
      <alignment wrapText="1"/>
    </xf>
    <xf numFmtId="49" fontId="1" fillId="2" borderId="17" xfId="6" applyNumberFormat="1" applyFont="1" applyFill="1" applyBorder="1" applyAlignment="1">
      <alignment horizontal="center"/>
    </xf>
    <xf numFmtId="49" fontId="1" fillId="2" borderId="18" xfId="14" applyNumberFormat="1" applyFont="1" applyFill="1" applyBorder="1" applyAlignment="1">
      <alignment horizontal="center"/>
    </xf>
    <xf numFmtId="49" fontId="1" fillId="2" borderId="19" xfId="14" applyNumberFormat="1" applyFont="1" applyFill="1" applyBorder="1" applyAlignment="1">
      <alignment horizontal="center"/>
    </xf>
    <xf numFmtId="49" fontId="1" fillId="2" borderId="21" xfId="14" applyNumberFormat="1" applyFont="1" applyFill="1" applyBorder="1" applyAlignment="1">
      <alignment horizontal="center"/>
    </xf>
    <xf numFmtId="49" fontId="1" fillId="2" borderId="16" xfId="14" applyNumberFormat="1" applyFont="1" applyFill="1" applyBorder="1" applyAlignment="1">
      <alignment wrapText="1"/>
    </xf>
    <xf numFmtId="49" fontId="1" fillId="2" borderId="16" xfId="14" applyNumberFormat="1" applyFont="1" applyFill="1" applyBorder="1" applyAlignment="1">
      <alignment horizontal="center"/>
    </xf>
    <xf numFmtId="49" fontId="1" fillId="2" borderId="17" xfId="5" applyNumberFormat="1" applyFont="1" applyFill="1" applyBorder="1" applyAlignment="1">
      <alignment wrapText="1"/>
    </xf>
    <xf numFmtId="49" fontId="1" fillId="2" borderId="24" xfId="6" applyNumberFormat="1" applyFont="1" applyFill="1" applyBorder="1" applyAlignment="1">
      <alignment horizontal="center"/>
    </xf>
    <xf numFmtId="49" fontId="1" fillId="2" borderId="20" xfId="6" applyNumberFormat="1" applyFont="1" applyFill="1" applyBorder="1" applyAlignment="1">
      <alignment horizontal="center"/>
    </xf>
    <xf numFmtId="49" fontId="1" fillId="2" borderId="20" xfId="14" applyNumberFormat="1" applyFont="1" applyFill="1" applyBorder="1" applyAlignment="1">
      <alignment horizontal="center"/>
    </xf>
    <xf numFmtId="49" fontId="1" fillId="2" borderId="9" xfId="14" applyNumberFormat="1" applyFont="1" applyFill="1" applyBorder="1" applyAlignment="1">
      <alignment horizontal="center"/>
    </xf>
    <xf numFmtId="49" fontId="1" fillId="2" borderId="3" xfId="14" applyNumberFormat="1" applyFont="1" applyFill="1" applyBorder="1" applyAlignment="1">
      <alignment horizontal="center"/>
    </xf>
    <xf numFmtId="49" fontId="1" fillId="2" borderId="1" xfId="14" applyNumberFormat="1" applyFont="1" applyFill="1" applyBorder="1" applyAlignment="1">
      <alignment horizontal="center"/>
    </xf>
    <xf numFmtId="49" fontId="1" fillId="2" borderId="7" xfId="14" applyNumberFormat="1" applyFont="1" applyFill="1" applyBorder="1" applyAlignment="1">
      <alignment horizontal="center"/>
    </xf>
    <xf numFmtId="49" fontId="1" fillId="2" borderId="8" xfId="14" applyNumberFormat="1" applyFont="1" applyFill="1" applyBorder="1" applyAlignment="1">
      <alignment horizontal="center"/>
    </xf>
    <xf numFmtId="49" fontId="1" fillId="2" borderId="3" xfId="5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wrapText="1"/>
    </xf>
    <xf numFmtId="49" fontId="1" fillId="2" borderId="16" xfId="5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vertical="top" wrapText="1"/>
    </xf>
    <xf numFmtId="49" fontId="1" fillId="2" borderId="19" xfId="5" applyNumberFormat="1" applyFont="1" applyFill="1" applyBorder="1" applyAlignment="1">
      <alignment wrapText="1"/>
    </xf>
    <xf numFmtId="49" fontId="1" fillId="2" borderId="17" xfId="5" applyNumberFormat="1" applyFont="1" applyFill="1" applyBorder="1" applyAlignment="1">
      <alignment horizontal="center"/>
    </xf>
    <xf numFmtId="49" fontId="1" fillId="2" borderId="18" xfId="5" applyNumberFormat="1" applyFont="1" applyFill="1" applyBorder="1" applyAlignment="1">
      <alignment horizontal="center"/>
    </xf>
    <xf numFmtId="49" fontId="1" fillId="2" borderId="19" xfId="5" applyNumberFormat="1" applyFont="1" applyFill="1" applyBorder="1" applyAlignment="1">
      <alignment horizontal="center"/>
    </xf>
    <xf numFmtId="49" fontId="1" fillId="2" borderId="16" xfId="5" applyNumberFormat="1" applyFont="1" applyFill="1" applyBorder="1" applyAlignment="1">
      <alignment horizontal="center"/>
    </xf>
    <xf numFmtId="49" fontId="1" fillId="2" borderId="19" xfId="16" applyNumberFormat="1" applyFont="1" applyFill="1" applyBorder="1" applyAlignment="1">
      <alignment wrapText="1"/>
    </xf>
    <xf numFmtId="49" fontId="1" fillId="2" borderId="19" xfId="16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2" fillId="2" borderId="1" xfId="6" applyNumberFormat="1" applyFont="1" applyFill="1" applyBorder="1" applyAlignment="1">
      <alignment horizontal="center"/>
    </xf>
    <xf numFmtId="49" fontId="2" fillId="2" borderId="1" xfId="4" applyNumberFormat="1" applyFont="1" applyFill="1" applyBorder="1" applyAlignment="1" applyProtection="1">
      <alignment horizontal="left" wrapText="1"/>
      <protection hidden="1"/>
    </xf>
    <xf numFmtId="0" fontId="1" fillId="2" borderId="0" xfId="7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166" fontId="1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/>
    <xf numFmtId="0" fontId="1" fillId="2" borderId="0" xfId="7" applyFont="1" applyFill="1" applyBorder="1" applyAlignment="1">
      <alignment horizontal="left"/>
    </xf>
    <xf numFmtId="0" fontId="1" fillId="2" borderId="0" xfId="7" applyFont="1" applyFill="1" applyAlignment="1">
      <alignment horizontal="left"/>
    </xf>
    <xf numFmtId="168" fontId="1" fillId="2" borderId="0" xfId="7" applyNumberFormat="1" applyFont="1" applyFill="1" applyAlignment="1">
      <alignment horizontal="right"/>
    </xf>
    <xf numFmtId="166" fontId="2" fillId="2" borderId="1" xfId="0" applyNumberFormat="1" applyFont="1" applyFill="1" applyBorder="1" applyAlignment="1">
      <alignment horizontal="right" vertical="top"/>
    </xf>
    <xf numFmtId="0" fontId="20" fillId="0" borderId="0" xfId="1" applyFont="1" applyFill="1" applyAlignment="1">
      <alignment vertical="top" wrapText="1"/>
    </xf>
    <xf numFmtId="0" fontId="20" fillId="0" borderId="0" xfId="1" applyFont="1" applyFill="1" applyAlignment="1">
      <alignment horizontal="right" vertical="top" wrapText="1"/>
    </xf>
    <xf numFmtId="166" fontId="1" fillId="0" borderId="1" xfId="1" applyNumberFormat="1" applyFont="1" applyFill="1" applyBorder="1" applyAlignment="1"/>
    <xf numFmtId="0" fontId="6" fillId="0" borderId="1" xfId="7" applyFont="1" applyFill="1" applyBorder="1" applyAlignment="1">
      <alignment wrapText="1"/>
    </xf>
    <xf numFmtId="166" fontId="6" fillId="0" borderId="1" xfId="1" applyNumberFormat="1" applyFont="1" applyFill="1" applyBorder="1" applyAlignment="1">
      <alignment horizontal="right"/>
    </xf>
    <xf numFmtId="0" fontId="1" fillId="0" borderId="1" xfId="1" applyFont="1" applyFill="1" applyBorder="1"/>
    <xf numFmtId="0" fontId="8" fillId="0" borderId="1" xfId="7" applyFont="1" applyFill="1" applyBorder="1"/>
    <xf numFmtId="0" fontId="1" fillId="0" borderId="0" xfId="1" applyFont="1" applyFill="1" applyBorder="1"/>
    <xf numFmtId="0" fontId="6" fillId="0" borderId="0" xfId="7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right"/>
    </xf>
    <xf numFmtId="0" fontId="3" fillId="2" borderId="0" xfId="5" applyFont="1" applyFill="1" applyBorder="1" applyAlignment="1">
      <alignment horizontal="left" vertical="top" wrapText="1"/>
    </xf>
    <xf numFmtId="166" fontId="3" fillId="2" borderId="0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15" fillId="2" borderId="0" xfId="0" applyFont="1" applyFill="1"/>
    <xf numFmtId="168" fontId="19" fillId="2" borderId="0" xfId="0" applyNumberFormat="1" applyFont="1" applyFill="1"/>
    <xf numFmtId="168" fontId="3" fillId="2" borderId="0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vertical="top" wrapText="1"/>
    </xf>
    <xf numFmtId="0" fontId="10" fillId="2" borderId="0" xfId="0" applyFont="1" applyFill="1"/>
    <xf numFmtId="0" fontId="11" fillId="2" borderId="0" xfId="0" applyFont="1" applyFill="1"/>
    <xf numFmtId="0" fontId="30" fillId="2" borderId="0" xfId="0" applyFont="1" applyFill="1"/>
    <xf numFmtId="0" fontId="2" fillId="2" borderId="16" xfId="16" applyFont="1" applyFill="1" applyBorder="1" applyAlignment="1">
      <alignment horizontal="center" vertical="top"/>
    </xf>
    <xf numFmtId="49" fontId="2" fillId="2" borderId="19" xfId="16" applyNumberFormat="1" applyFont="1" applyFill="1" applyBorder="1" applyAlignment="1">
      <alignment wrapText="1"/>
    </xf>
    <xf numFmtId="49" fontId="2" fillId="2" borderId="16" xfId="16" applyNumberFormat="1" applyFont="1" applyFill="1" applyBorder="1" applyAlignment="1">
      <alignment horizontal="center" wrapText="1"/>
    </xf>
    <xf numFmtId="49" fontId="2" fillId="2" borderId="16" xfId="16" applyNumberFormat="1" applyFont="1" applyFill="1" applyBorder="1" applyAlignment="1">
      <alignment horizontal="center"/>
    </xf>
    <xf numFmtId="49" fontId="2" fillId="2" borderId="25" xfId="16" applyNumberFormat="1" applyFont="1" applyFill="1" applyBorder="1" applyAlignment="1">
      <alignment horizontal="center"/>
    </xf>
    <xf numFmtId="49" fontId="2" fillId="2" borderId="20" xfId="16" applyNumberFormat="1" applyFont="1" applyFill="1" applyBorder="1" applyAlignment="1">
      <alignment horizontal="center"/>
    </xf>
    <xf numFmtId="49" fontId="2" fillId="2" borderId="26" xfId="16" applyNumberFormat="1" applyFont="1" applyFill="1" applyBorder="1" applyAlignment="1">
      <alignment horizontal="center"/>
    </xf>
    <xf numFmtId="166" fontId="2" fillId="2" borderId="16" xfId="16" applyNumberFormat="1" applyFont="1" applyFill="1" applyBorder="1" applyAlignment="1">
      <alignment horizontal="right"/>
    </xf>
    <xf numFmtId="0" fontId="15" fillId="2" borderId="0" xfId="16" applyFont="1" applyFill="1"/>
    <xf numFmtId="0" fontId="1" fillId="2" borderId="16" xfId="16" applyFont="1" applyFill="1" applyBorder="1" applyAlignment="1">
      <alignment horizontal="center" vertical="top"/>
    </xf>
    <xf numFmtId="49" fontId="1" fillId="2" borderId="16" xfId="11" applyNumberFormat="1" applyFont="1" applyFill="1" applyBorder="1" applyAlignment="1">
      <alignment horizontal="center" wrapText="1"/>
    </xf>
    <xf numFmtId="49" fontId="1" fillId="2" borderId="16" xfId="11" applyNumberFormat="1" applyFont="1" applyFill="1" applyBorder="1" applyAlignment="1">
      <alignment horizontal="center"/>
    </xf>
    <xf numFmtId="49" fontId="1" fillId="2" borderId="17" xfId="16" applyNumberFormat="1" applyFont="1" applyFill="1" applyBorder="1" applyAlignment="1">
      <alignment horizontal="center"/>
    </xf>
    <xf numFmtId="166" fontId="1" fillId="2" borderId="16" xfId="16" applyNumberFormat="1" applyFont="1" applyFill="1" applyBorder="1" applyAlignment="1">
      <alignment horizontal="right"/>
    </xf>
    <xf numFmtId="0" fontId="8" fillId="2" borderId="0" xfId="16" applyFont="1" applyFill="1"/>
    <xf numFmtId="49" fontId="1" fillId="2" borderId="25" xfId="11" applyNumberFormat="1" applyFont="1" applyFill="1" applyBorder="1" applyAlignment="1">
      <alignment horizontal="center"/>
    </xf>
    <xf numFmtId="49" fontId="1" fillId="2" borderId="20" xfId="16" applyNumberFormat="1" applyFont="1" applyFill="1" applyBorder="1" applyAlignment="1">
      <alignment horizontal="center"/>
    </xf>
    <xf numFmtId="49" fontId="1" fillId="2" borderId="26" xfId="16" applyNumberFormat="1" applyFont="1" applyFill="1" applyBorder="1" applyAlignment="1">
      <alignment horizontal="center"/>
    </xf>
    <xf numFmtId="49" fontId="1" fillId="2" borderId="25" xfId="6" applyNumberFormat="1" applyFont="1" applyFill="1" applyBorder="1" applyAlignment="1">
      <alignment horizontal="center"/>
    </xf>
    <xf numFmtId="49" fontId="1" fillId="2" borderId="18" xfId="16" applyNumberFormat="1" applyFont="1" applyFill="1" applyBorder="1" applyAlignment="1">
      <alignment wrapText="1"/>
    </xf>
    <xf numFmtId="49" fontId="1" fillId="2" borderId="18" xfId="6" applyNumberFormat="1" applyFont="1" applyFill="1" applyBorder="1" applyAlignment="1">
      <alignment horizontal="center"/>
    </xf>
    <xf numFmtId="49" fontId="1" fillId="2" borderId="19" xfId="8" applyNumberFormat="1" applyFont="1" applyFill="1" applyBorder="1" applyAlignment="1">
      <alignment wrapText="1"/>
    </xf>
    <xf numFmtId="0" fontId="1" fillId="2" borderId="16" xfId="5" applyFont="1" applyFill="1" applyBorder="1" applyAlignment="1">
      <alignment horizontal="center" vertical="top"/>
    </xf>
    <xf numFmtId="49" fontId="1" fillId="2" borderId="19" xfId="5" applyNumberFormat="1" applyFont="1" applyFill="1" applyBorder="1" applyAlignment="1">
      <alignment horizontal="left" wrapText="1"/>
    </xf>
    <xf numFmtId="49" fontId="1" fillId="2" borderId="16" xfId="5" applyNumberFormat="1" applyFont="1" applyFill="1" applyBorder="1" applyAlignment="1">
      <alignment horizontal="center" wrapText="1"/>
    </xf>
    <xf numFmtId="0" fontId="8" fillId="2" borderId="0" xfId="5" applyFont="1" applyFill="1"/>
    <xf numFmtId="49" fontId="1" fillId="2" borderId="19" xfId="16" applyNumberFormat="1" applyFont="1" applyFill="1" applyBorder="1" applyAlignment="1">
      <alignment horizontal="left" wrapText="1"/>
    </xf>
    <xf numFmtId="0" fontId="15" fillId="2" borderId="0" xfId="5" applyFont="1" applyFill="1"/>
    <xf numFmtId="166" fontId="10" fillId="2" borderId="0" xfId="0" applyNumberFormat="1" applyFont="1" applyFill="1"/>
    <xf numFmtId="166" fontId="11" fillId="2" borderId="0" xfId="0" applyNumberFormat="1" applyFont="1" applyFill="1"/>
    <xf numFmtId="49" fontId="2" fillId="2" borderId="3" xfId="0" applyNumberFormat="1" applyFont="1" applyFill="1" applyBorder="1" applyAlignment="1">
      <alignment horizontal="left" wrapText="1"/>
    </xf>
    <xf numFmtId="49" fontId="1" fillId="2" borderId="1" xfId="6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168" fontId="8" fillId="2" borderId="0" xfId="7" applyNumberFormat="1" applyFont="1" applyFill="1"/>
    <xf numFmtId="0" fontId="22" fillId="2" borderId="0" xfId="0" applyFont="1" applyFill="1"/>
    <xf numFmtId="168" fontId="22" fillId="2" borderId="0" xfId="0" applyNumberFormat="1" applyFont="1" applyFill="1"/>
    <xf numFmtId="166" fontId="11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left"/>
    </xf>
    <xf numFmtId="168" fontId="3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wrapText="1"/>
    </xf>
    <xf numFmtId="172" fontId="8" fillId="2" borderId="0" xfId="0" applyNumberFormat="1" applyFont="1" applyFill="1"/>
    <xf numFmtId="166" fontId="3" fillId="2" borderId="0" xfId="0" applyNumberFormat="1" applyFont="1" applyFill="1" applyAlignment="1">
      <alignment horizontal="right"/>
    </xf>
    <xf numFmtId="0" fontId="1" fillId="2" borderId="5" xfId="0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/>
    </xf>
    <xf numFmtId="49" fontId="1" fillId="2" borderId="16" xfId="12" applyNumberFormat="1" applyFont="1" applyFill="1" applyBorder="1" applyAlignment="1">
      <alignment horizontal="center" wrapText="1"/>
    </xf>
    <xf numFmtId="49" fontId="1" fillId="2" borderId="16" xfId="12" applyNumberFormat="1" applyFont="1" applyFill="1" applyBorder="1" applyAlignment="1">
      <alignment horizontal="center"/>
    </xf>
    <xf numFmtId="49" fontId="1" fillId="2" borderId="17" xfId="12" applyNumberFormat="1" applyFont="1" applyFill="1" applyBorder="1" applyAlignment="1">
      <alignment horizontal="center"/>
    </xf>
    <xf numFmtId="49" fontId="1" fillId="2" borderId="18" xfId="12" applyNumberFormat="1" applyFont="1" applyFill="1" applyBorder="1" applyAlignment="1">
      <alignment horizontal="center"/>
    </xf>
    <xf numFmtId="49" fontId="1" fillId="2" borderId="19" xfId="12" applyNumberFormat="1" applyFont="1" applyFill="1" applyBorder="1" applyAlignment="1">
      <alignment horizontal="center"/>
    </xf>
    <xf numFmtId="172" fontId="8" fillId="2" borderId="0" xfId="16" applyNumberFormat="1" applyFont="1" applyFill="1"/>
    <xf numFmtId="49" fontId="1" fillId="2" borderId="0" xfId="16" applyNumberFormat="1" applyFont="1" applyFill="1" applyBorder="1" applyAlignment="1">
      <alignment horizontal="center"/>
    </xf>
    <xf numFmtId="0" fontId="1" fillId="2" borderId="21" xfId="14" applyFont="1" applyFill="1" applyBorder="1" applyAlignment="1">
      <alignment horizontal="center" vertical="top"/>
    </xf>
    <xf numFmtId="49" fontId="1" fillId="2" borderId="22" xfId="14" applyNumberFormat="1" applyFont="1" applyFill="1" applyBorder="1" applyAlignment="1">
      <alignment wrapText="1"/>
    </xf>
    <xf numFmtId="49" fontId="1" fillId="2" borderId="27" xfId="11" applyNumberFormat="1" applyFont="1" applyFill="1" applyBorder="1" applyAlignment="1">
      <alignment horizontal="center" wrapText="1"/>
    </xf>
    <xf numFmtId="49" fontId="1" fillId="2" borderId="27" xfId="11" applyNumberFormat="1" applyFont="1" applyFill="1" applyBorder="1" applyAlignment="1">
      <alignment horizontal="center"/>
    </xf>
    <xf numFmtId="166" fontId="1" fillId="2" borderId="21" xfId="14" applyNumberFormat="1" applyFont="1" applyFill="1" applyBorder="1" applyAlignment="1">
      <alignment horizontal="right"/>
    </xf>
    <xf numFmtId="172" fontId="8" fillId="2" borderId="0" xfId="14" applyNumberFormat="1" applyFont="1" applyFill="1"/>
    <xf numFmtId="0" fontId="8" fillId="2" borderId="0" xfId="14" applyFont="1" applyFill="1"/>
    <xf numFmtId="0" fontId="1" fillId="2" borderId="16" xfId="14" applyFont="1" applyFill="1" applyBorder="1" applyAlignment="1">
      <alignment horizontal="center" vertical="top"/>
    </xf>
    <xf numFmtId="49" fontId="1" fillId="2" borderId="18" xfId="14" applyNumberFormat="1" applyFont="1" applyFill="1" applyBorder="1" applyAlignment="1">
      <alignment wrapText="1"/>
    </xf>
    <xf numFmtId="166" fontId="1" fillId="2" borderId="16" xfId="14" applyNumberFormat="1" applyFont="1" applyFill="1" applyBorder="1" applyAlignment="1">
      <alignment horizontal="right"/>
    </xf>
    <xf numFmtId="49" fontId="1" fillId="2" borderId="20" xfId="16" applyNumberFormat="1" applyFont="1" applyFill="1" applyBorder="1" applyAlignment="1">
      <alignment wrapText="1"/>
    </xf>
    <xf numFmtId="49" fontId="1" fillId="2" borderId="26" xfId="14" applyNumberFormat="1" applyFont="1" applyFill="1" applyBorder="1" applyAlignment="1">
      <alignment horizontal="center"/>
    </xf>
    <xf numFmtId="49" fontId="1" fillId="2" borderId="23" xfId="14" applyNumberFormat="1" applyFont="1" applyFill="1" applyBorder="1" applyAlignment="1">
      <alignment horizontal="center"/>
    </xf>
    <xf numFmtId="49" fontId="1" fillId="2" borderId="16" xfId="16" applyNumberFormat="1" applyFont="1" applyFill="1" applyBorder="1" applyAlignment="1">
      <alignment wrapText="1"/>
    </xf>
    <xf numFmtId="0" fontId="1" fillId="2" borderId="23" xfId="14" applyFont="1" applyFill="1" applyBorder="1" applyAlignment="1">
      <alignment horizontal="center" vertical="top"/>
    </xf>
    <xf numFmtId="49" fontId="1" fillId="2" borderId="23" xfId="11" applyNumberFormat="1" applyFont="1" applyFill="1" applyBorder="1" applyAlignment="1">
      <alignment horizontal="center" wrapText="1"/>
    </xf>
    <xf numFmtId="49" fontId="1" fillId="2" borderId="19" xfId="6" applyNumberFormat="1" applyFont="1" applyFill="1" applyBorder="1" applyAlignment="1">
      <alignment horizontal="left" wrapText="1"/>
    </xf>
    <xf numFmtId="166" fontId="1" fillId="2" borderId="16" xfId="5" applyNumberFormat="1" applyFont="1" applyFill="1" applyBorder="1" applyAlignment="1">
      <alignment horizontal="right"/>
    </xf>
    <xf numFmtId="169" fontId="10" fillId="2" borderId="0" xfId="0" applyNumberFormat="1" applyFont="1" applyFill="1"/>
    <xf numFmtId="169" fontId="15" fillId="2" borderId="0" xfId="0" applyNumberFormat="1" applyFont="1" applyFill="1"/>
    <xf numFmtId="4" fontId="1" fillId="2" borderId="3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right"/>
    </xf>
    <xf numFmtId="0" fontId="30" fillId="2" borderId="0" xfId="0" applyFont="1" applyFill="1" applyBorder="1"/>
    <xf numFmtId="166" fontId="11" fillId="2" borderId="0" xfId="0" applyNumberFormat="1" applyFont="1" applyFill="1" applyBorder="1"/>
    <xf numFmtId="166" fontId="10" fillId="2" borderId="0" xfId="0" applyNumberFormat="1" applyFont="1" applyFill="1" applyBorder="1"/>
    <xf numFmtId="166" fontId="1" fillId="2" borderId="1" xfId="7" applyNumberFormat="1" applyFont="1" applyFill="1" applyBorder="1"/>
    <xf numFmtId="168" fontId="1" fillId="2" borderId="0" xfId="7" applyNumberFormat="1" applyFont="1" applyFill="1" applyBorder="1" applyAlignment="1">
      <alignment horizontal="right"/>
    </xf>
    <xf numFmtId="168" fontId="1" fillId="2" borderId="1" xfId="3" applyNumberFormat="1" applyFont="1" applyFill="1" applyBorder="1" applyAlignment="1">
      <alignment horizontal="center" vertical="center"/>
    </xf>
    <xf numFmtId="172" fontId="33" fillId="2" borderId="0" xfId="7" applyNumberFormat="1" applyFont="1" applyFill="1"/>
    <xf numFmtId="49" fontId="2" fillId="2" borderId="19" xfId="8" applyNumberFormat="1" applyFont="1" applyFill="1" applyBorder="1" applyAlignment="1">
      <alignment wrapText="1"/>
    </xf>
    <xf numFmtId="49" fontId="2" fillId="2" borderId="17" xfId="11" applyNumberFormat="1" applyFont="1" applyFill="1" applyBorder="1" applyAlignment="1">
      <alignment horizontal="center"/>
    </xf>
    <xf numFmtId="49" fontId="2" fillId="2" borderId="18" xfId="16" applyNumberFormat="1" applyFont="1" applyFill="1" applyBorder="1" applyAlignment="1">
      <alignment horizontal="center"/>
    </xf>
    <xf numFmtId="49" fontId="2" fillId="2" borderId="19" xfId="16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4" fillId="2" borderId="0" xfId="0" applyFont="1" applyFill="1" applyBorder="1"/>
    <xf numFmtId="0" fontId="34" fillId="2" borderId="0" xfId="0" applyFont="1" applyFill="1"/>
    <xf numFmtId="0" fontId="3" fillId="2" borderId="0" xfId="0" applyFont="1" applyFill="1" applyAlignment="1">
      <alignment horizontal="right" vertical="top"/>
    </xf>
    <xf numFmtId="0" fontId="23" fillId="2" borderId="0" xfId="0" applyFont="1" applyFill="1" applyAlignment="1">
      <alignment vertical="top"/>
    </xf>
    <xf numFmtId="49" fontId="11" fillId="2" borderId="0" xfId="7" applyNumberFormat="1" applyFont="1" applyFill="1" applyBorder="1" applyAlignment="1">
      <alignment horizontal="center" vertical="top"/>
    </xf>
    <xf numFmtId="168" fontId="3" fillId="2" borderId="0" xfId="7" applyNumberFormat="1" applyFont="1" applyFill="1" applyAlignment="1">
      <alignment horizontal="right" vertical="top"/>
    </xf>
    <xf numFmtId="0" fontId="2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/>
    </xf>
    <xf numFmtId="49" fontId="10" fillId="2" borderId="0" xfId="7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0" xfId="7" applyFont="1" applyFill="1" applyBorder="1" applyAlignment="1">
      <alignment horizontal="left" vertical="center"/>
    </xf>
    <xf numFmtId="0" fontId="3" fillId="2" borderId="0" xfId="7" applyFont="1" applyFill="1" applyAlignment="1">
      <alignment horizontal="left" vertical="center"/>
    </xf>
    <xf numFmtId="170" fontId="1" fillId="2" borderId="0" xfId="1" applyNumberFormat="1" applyFont="1" applyFill="1" applyAlignment="1">
      <alignment horizontal="right"/>
    </xf>
    <xf numFmtId="170" fontId="1" fillId="2" borderId="1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horizontal="right"/>
    </xf>
    <xf numFmtId="167" fontId="1" fillId="2" borderId="1" xfId="1" applyNumberFormat="1" applyFont="1" applyFill="1" applyBorder="1" applyAlignment="1"/>
    <xf numFmtId="167" fontId="2" fillId="2" borderId="1" xfId="10" applyNumberFormat="1" applyFont="1" applyFill="1" applyBorder="1" applyAlignment="1">
      <alignment vertical="top"/>
    </xf>
    <xf numFmtId="170" fontId="1" fillId="2" borderId="0" xfId="1" applyNumberFormat="1" applyFont="1" applyFill="1"/>
    <xf numFmtId="170" fontId="1" fillId="2" borderId="0" xfId="7" applyNumberFormat="1" applyFont="1" applyFill="1" applyBorder="1"/>
    <xf numFmtId="0" fontId="1" fillId="2" borderId="0" xfId="1" applyFont="1" applyFill="1"/>
    <xf numFmtId="167" fontId="4" fillId="2" borderId="1" xfId="0" applyNumberFormat="1" applyFont="1" applyFill="1" applyBorder="1" applyAlignment="1">
      <alignment vertical="top"/>
    </xf>
    <xf numFmtId="167" fontId="1" fillId="2" borderId="1" xfId="0" applyNumberFormat="1" applyFont="1" applyFill="1" applyBorder="1" applyAlignment="1">
      <alignment vertical="top"/>
    </xf>
    <xf numFmtId="167" fontId="1" fillId="2" borderId="1" xfId="1" applyNumberFormat="1" applyFont="1" applyFill="1" applyBorder="1" applyAlignment="1">
      <alignment horizontal="right" vertical="top"/>
    </xf>
    <xf numFmtId="167" fontId="1" fillId="2" borderId="1" xfId="1" applyNumberFormat="1" applyFont="1" applyFill="1" applyBorder="1" applyAlignment="1">
      <alignment vertical="top"/>
    </xf>
    <xf numFmtId="167" fontId="1" fillId="0" borderId="1" xfId="1" applyNumberFormat="1" applyFont="1" applyFill="1" applyBorder="1" applyAlignment="1">
      <alignment vertical="top"/>
    </xf>
    <xf numFmtId="49" fontId="35" fillId="2" borderId="0" xfId="7" applyNumberFormat="1" applyFont="1" applyFill="1" applyBorder="1" applyAlignment="1">
      <alignment horizontal="center" vertical="top"/>
    </xf>
    <xf numFmtId="0" fontId="31" fillId="2" borderId="1" xfId="0" applyFont="1" applyFill="1" applyBorder="1" applyAlignment="1">
      <alignment horizontal="center" vertical="top"/>
    </xf>
    <xf numFmtId="0" fontId="36" fillId="2" borderId="0" xfId="0" applyFont="1" applyFill="1"/>
    <xf numFmtId="0" fontId="37" fillId="2" borderId="1" xfId="0" applyFont="1" applyFill="1" applyBorder="1" applyAlignment="1">
      <alignment horizontal="center" vertical="top"/>
    </xf>
    <xf numFmtId="0" fontId="38" fillId="2" borderId="0" xfId="0" applyFont="1" applyFill="1"/>
    <xf numFmtId="49" fontId="1" fillId="2" borderId="0" xfId="0" applyNumberFormat="1" applyFont="1" applyFill="1" applyBorder="1" applyAlignment="1">
      <alignment horizontal="left" vertical="top" wrapText="1"/>
    </xf>
    <xf numFmtId="166" fontId="1" fillId="2" borderId="0" xfId="7" applyNumberFormat="1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14" fontId="10" fillId="2" borderId="0" xfId="0" applyNumberFormat="1" applyFont="1" applyFill="1"/>
    <xf numFmtId="166" fontId="1" fillId="2" borderId="23" xfId="16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center" wrapText="1"/>
    </xf>
    <xf numFmtId="0" fontId="2" fillId="2" borderId="1" xfId="3" applyFont="1" applyFill="1" applyBorder="1" applyAlignment="1"/>
    <xf numFmtId="166" fontId="2" fillId="2" borderId="1" xfId="10" applyNumberFormat="1" applyFont="1" applyFill="1" applyBorder="1" applyAlignment="1">
      <alignment horizontal="right" wrapText="1"/>
    </xf>
    <xf numFmtId="0" fontId="1" fillId="2" borderId="1" xfId="3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left"/>
    </xf>
    <xf numFmtId="166" fontId="1" fillId="2" borderId="1" xfId="3" applyNumberFormat="1" applyFont="1" applyFill="1" applyBorder="1" applyAlignment="1">
      <alignment horizontal="right" wrapText="1"/>
    </xf>
    <xf numFmtId="0" fontId="2" fillId="2" borderId="1" xfId="3" applyFont="1" applyFill="1" applyBorder="1" applyAlignment="1">
      <alignment wrapText="1"/>
    </xf>
    <xf numFmtId="166" fontId="2" fillId="2" borderId="1" xfId="3" applyNumberFormat="1" applyFont="1" applyFill="1" applyBorder="1" applyAlignment="1">
      <alignment horizontal="right" wrapText="1"/>
    </xf>
    <xf numFmtId="0" fontId="1" fillId="2" borderId="1" xfId="3" applyFont="1" applyFill="1" applyBorder="1" applyAlignment="1">
      <alignment wrapText="1"/>
    </xf>
    <xf numFmtId="49" fontId="1" fillId="2" borderId="1" xfId="3" applyNumberFormat="1" applyFont="1" applyFill="1" applyBorder="1" applyAlignment="1">
      <alignment horizontal="center" vertical="top"/>
    </xf>
    <xf numFmtId="49" fontId="2" fillId="2" borderId="1" xfId="3" applyNumberFormat="1" applyFont="1" applyFill="1" applyBorder="1" applyAlignment="1">
      <alignment horizontal="center" vertical="top"/>
    </xf>
    <xf numFmtId="49" fontId="3" fillId="2" borderId="1" xfId="3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wrapText="1"/>
    </xf>
    <xf numFmtId="166" fontId="3" fillId="2" borderId="1" xfId="3" applyNumberFormat="1" applyFont="1" applyFill="1" applyBorder="1" applyAlignment="1">
      <alignment horizontal="right" wrapText="1"/>
    </xf>
    <xf numFmtId="49" fontId="1" fillId="2" borderId="1" xfId="11" applyNumberFormat="1" applyFont="1" applyFill="1" applyBorder="1" applyAlignment="1">
      <alignment wrapText="1"/>
    </xf>
    <xf numFmtId="49" fontId="1" fillId="2" borderId="1" xfId="3" applyNumberFormat="1" applyFont="1" applyFill="1" applyBorder="1" applyAlignment="1">
      <alignment horizontal="center"/>
    </xf>
    <xf numFmtId="1" fontId="1" fillId="2" borderId="1" xfId="3" applyNumberFormat="1" applyFont="1" applyFill="1" applyBorder="1" applyAlignment="1">
      <alignment horizontal="center" wrapText="1"/>
    </xf>
    <xf numFmtId="0" fontId="1" fillId="0" borderId="1" xfId="3" applyFont="1" applyFill="1" applyBorder="1" applyAlignment="1">
      <alignment horizontal="left" vertical="top" wrapText="1"/>
    </xf>
    <xf numFmtId="0" fontId="29" fillId="2" borderId="0" xfId="0" applyFont="1" applyFill="1" applyBorder="1"/>
    <xf numFmtId="0" fontId="29" fillId="2" borderId="0" xfId="0" applyFont="1" applyFill="1"/>
    <xf numFmtId="0" fontId="13" fillId="2" borderId="0" xfId="3" applyFont="1" applyFill="1"/>
    <xf numFmtId="49" fontId="1" fillId="2" borderId="23" xfId="16" applyNumberFormat="1" applyFont="1" applyFill="1" applyBorder="1" applyAlignment="1">
      <alignment horizontal="center"/>
    </xf>
    <xf numFmtId="49" fontId="1" fillId="2" borderId="26" xfId="5" applyNumberFormat="1" applyFont="1" applyFill="1" applyBorder="1" applyAlignment="1">
      <alignment wrapText="1"/>
    </xf>
    <xf numFmtId="166" fontId="1" fillId="2" borderId="0" xfId="1" applyNumberFormat="1" applyFont="1" applyFill="1"/>
    <xf numFmtId="167" fontId="11" fillId="2" borderId="1" xfId="0" applyNumberFormat="1" applyFont="1" applyFill="1" applyBorder="1"/>
    <xf numFmtId="167" fontId="10" fillId="2" borderId="1" xfId="0" applyNumberFormat="1" applyFont="1" applyFill="1" applyBorder="1"/>
    <xf numFmtId="167" fontId="27" fillId="2" borderId="1" xfId="0" applyNumberFormat="1" applyFont="1" applyFill="1" applyBorder="1"/>
    <xf numFmtId="175" fontId="3" fillId="0" borderId="12" xfId="0" applyNumberFormat="1" applyFont="1" applyFill="1" applyBorder="1" applyAlignment="1">
      <alignment vertical="top"/>
    </xf>
    <xf numFmtId="175" fontId="3" fillId="2" borderId="12" xfId="0" applyNumberFormat="1" applyFont="1" applyFill="1" applyBorder="1" applyAlignment="1">
      <alignment vertical="top"/>
    </xf>
    <xf numFmtId="175" fontId="3" fillId="2" borderId="13" xfId="0" applyNumberFormat="1" applyFont="1" applyFill="1" applyBorder="1" applyAlignment="1">
      <alignment vertical="top"/>
    </xf>
    <xf numFmtId="175" fontId="3" fillId="0" borderId="11" xfId="0" applyNumberFormat="1" applyFont="1" applyFill="1" applyBorder="1" applyAlignment="1">
      <alignment vertical="top"/>
    </xf>
    <xf numFmtId="0" fontId="3" fillId="0" borderId="10" xfId="3" applyFont="1" applyFill="1" applyBorder="1" applyAlignment="1">
      <alignment vertical="top" wrapText="1"/>
    </xf>
    <xf numFmtId="175" fontId="3" fillId="0" borderId="10" xfId="0" applyNumberFormat="1" applyFont="1" applyFill="1" applyBorder="1" applyAlignment="1">
      <alignment vertical="top"/>
    </xf>
    <xf numFmtId="0" fontId="2" fillId="2" borderId="5" xfId="7" applyFont="1" applyFill="1" applyBorder="1" applyAlignment="1">
      <alignment horizontal="center" vertical="top"/>
    </xf>
    <xf numFmtId="49" fontId="1" fillId="2" borderId="26" xfId="16" applyNumberFormat="1" applyFont="1" applyFill="1" applyBorder="1" applyAlignment="1">
      <alignment horizontal="center" wrapText="1"/>
    </xf>
    <xf numFmtId="166" fontId="1" fillId="2" borderId="5" xfId="7" applyNumberFormat="1" applyFont="1" applyFill="1" applyBorder="1" applyAlignment="1">
      <alignment horizontal="right"/>
    </xf>
    <xf numFmtId="49" fontId="1" fillId="2" borderId="1" xfId="16" applyNumberFormat="1" applyFont="1" applyFill="1" applyBorder="1" applyAlignment="1">
      <alignment horizontal="center"/>
    </xf>
    <xf numFmtId="49" fontId="1" fillId="2" borderId="3" xfId="16" applyNumberFormat="1" applyFont="1" applyFill="1" applyBorder="1" applyAlignment="1">
      <alignment horizontal="center"/>
    </xf>
    <xf numFmtId="2" fontId="19" fillId="2" borderId="0" xfId="0" applyNumberFormat="1" applyFont="1" applyFill="1"/>
    <xf numFmtId="0" fontId="3" fillId="2" borderId="0" xfId="0" applyFont="1" applyFill="1" applyBorder="1" applyAlignment="1">
      <alignment horizontal="left" vertical="center" wrapText="1"/>
    </xf>
    <xf numFmtId="0" fontId="39" fillId="2" borderId="0" xfId="0" applyFont="1" applyFill="1" applyBorder="1"/>
    <xf numFmtId="0" fontId="39" fillId="2" borderId="0" xfId="0" applyFont="1" applyFill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right"/>
    </xf>
    <xf numFmtId="49" fontId="1" fillId="2" borderId="0" xfId="16" applyNumberFormat="1" applyFont="1" applyFill="1" applyBorder="1" applyAlignment="1">
      <alignment wrapText="1"/>
    </xf>
    <xf numFmtId="49" fontId="1" fillId="2" borderId="0" xfId="12" applyNumberFormat="1" applyFont="1" applyFill="1" applyBorder="1" applyAlignment="1">
      <alignment horizontal="center"/>
    </xf>
    <xf numFmtId="49" fontId="1" fillId="2" borderId="23" xfId="12" applyNumberFormat="1" applyFont="1" applyFill="1" applyBorder="1" applyAlignment="1">
      <alignment horizontal="center"/>
    </xf>
    <xf numFmtId="49" fontId="1" fillId="2" borderId="1" xfId="12" applyNumberFormat="1" applyFont="1" applyFill="1" applyBorder="1" applyAlignment="1">
      <alignment horizontal="center"/>
    </xf>
    <xf numFmtId="49" fontId="1" fillId="2" borderId="28" xfId="12" applyNumberFormat="1" applyFont="1" applyFill="1" applyBorder="1" applyAlignment="1">
      <alignment horizontal="center"/>
    </xf>
    <xf numFmtId="0" fontId="1" fillId="2" borderId="23" xfId="16" applyFont="1" applyFill="1" applyBorder="1" applyAlignment="1">
      <alignment horizontal="center" vertical="top"/>
    </xf>
    <xf numFmtId="49" fontId="1" fillId="2" borderId="26" xfId="16" applyNumberFormat="1" applyFont="1" applyFill="1" applyBorder="1" applyAlignment="1">
      <alignment wrapText="1"/>
    </xf>
    <xf numFmtId="0" fontId="1" fillId="2" borderId="1" xfId="16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left" wrapText="1"/>
    </xf>
    <xf numFmtId="49" fontId="1" fillId="2" borderId="10" xfId="7" applyNumberFormat="1" applyFont="1" applyFill="1" applyBorder="1" applyAlignment="1">
      <alignment horizontal="center"/>
    </xf>
    <xf numFmtId="49" fontId="1" fillId="2" borderId="29" xfId="14" applyNumberFormat="1" applyFont="1" applyFill="1" applyBorder="1" applyAlignment="1">
      <alignment wrapText="1"/>
    </xf>
    <xf numFmtId="49" fontId="1" fillId="2" borderId="29" xfId="16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166" fontId="3" fillId="2" borderId="1" xfId="7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0" xfId="3" applyFont="1" applyAlignment="1">
      <alignment wrapText="1"/>
    </xf>
    <xf numFmtId="0" fontId="1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6" fillId="2" borderId="0" xfId="3" applyFont="1" applyFill="1"/>
    <xf numFmtId="0" fontId="1" fillId="0" borderId="5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justify" vertical="top" wrapText="1"/>
    </xf>
    <xf numFmtId="166" fontId="1" fillId="0" borderId="5" xfId="3" applyNumberFormat="1" applyFont="1" applyBorder="1" applyAlignment="1">
      <alignment horizontal="center"/>
    </xf>
    <xf numFmtId="0" fontId="1" fillId="0" borderId="0" xfId="3" applyFont="1" applyBorder="1" applyAlignment="1">
      <alignment horizontal="left" wrapText="1"/>
    </xf>
    <xf numFmtId="166" fontId="1" fillId="0" borderId="12" xfId="3" applyNumberFormat="1" applyFont="1" applyBorder="1" applyAlignment="1">
      <alignment horizontal="center"/>
    </xf>
    <xf numFmtId="0" fontId="1" fillId="0" borderId="4" xfId="3" applyFont="1" applyBorder="1" applyAlignment="1">
      <alignment horizontal="left" wrapText="1"/>
    </xf>
    <xf numFmtId="167" fontId="1" fillId="0" borderId="8" xfId="3" applyNumberFormat="1" applyFont="1" applyBorder="1" applyAlignment="1">
      <alignment horizontal="center"/>
    </xf>
    <xf numFmtId="167" fontId="1" fillId="0" borderId="11" xfId="3" applyNumberFormat="1" applyFont="1" applyBorder="1" applyAlignment="1">
      <alignment horizontal="center"/>
    </xf>
    <xf numFmtId="167" fontId="1" fillId="0" borderId="10" xfId="3" applyNumberFormat="1" applyFont="1" applyBorder="1" applyAlignment="1">
      <alignment horizontal="center"/>
    </xf>
    <xf numFmtId="0" fontId="3" fillId="2" borderId="1" xfId="5" applyFont="1" applyFill="1" applyBorder="1" applyAlignment="1">
      <alignment horizontal="left" vertical="top" wrapText="1"/>
    </xf>
    <xf numFmtId="166" fontId="3" fillId="2" borderId="1" xfId="5" applyNumberFormat="1" applyFont="1" applyFill="1" applyBorder="1" applyAlignment="1">
      <alignment horizontal="right" wrapText="1"/>
    </xf>
    <xf numFmtId="0" fontId="1" fillId="0" borderId="0" xfId="1" applyFont="1" applyFill="1"/>
    <xf numFmtId="0" fontId="1" fillId="0" borderId="1" xfId="7" applyFont="1" applyFill="1" applyBorder="1" applyAlignment="1">
      <alignment horizontal="center" vertical="top"/>
    </xf>
    <xf numFmtId="49" fontId="1" fillId="2" borderId="3" xfId="7" applyNumberFormat="1" applyFont="1" applyFill="1" applyBorder="1" applyAlignment="1">
      <alignment wrapText="1"/>
    </xf>
    <xf numFmtId="0" fontId="31" fillId="2" borderId="0" xfId="1" applyFont="1" applyFill="1"/>
    <xf numFmtId="0" fontId="2" fillId="2" borderId="1" xfId="7" applyFont="1" applyFill="1" applyBorder="1" applyAlignment="1">
      <alignment vertical="top" wrapText="1"/>
    </xf>
    <xf numFmtId="167" fontId="2" fillId="2" borderId="1" xfId="1" applyNumberFormat="1" applyFont="1" applyFill="1" applyBorder="1" applyAlignment="1">
      <alignment horizontal="right" vertical="top"/>
    </xf>
    <xf numFmtId="0" fontId="1" fillId="2" borderId="1" xfId="7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2" fillId="2" borderId="0" xfId="1" applyFont="1" applyFill="1"/>
    <xf numFmtId="0" fontId="4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1" xfId="5" applyFont="1" applyFill="1" applyBorder="1" applyAlignment="1">
      <alignment vertical="top" wrapText="1"/>
    </xf>
    <xf numFmtId="0" fontId="3" fillId="2" borderId="1" xfId="5" applyFont="1" applyFill="1" applyBorder="1" applyAlignment="1">
      <alignment vertical="top" wrapText="1"/>
    </xf>
    <xf numFmtId="0" fontId="1" fillId="2" borderId="0" xfId="7" applyFont="1" applyFill="1" applyAlignment="1">
      <alignment horizontal="right"/>
    </xf>
    <xf numFmtId="0" fontId="1" fillId="2" borderId="0" xfId="3" applyFont="1" applyFill="1"/>
    <xf numFmtId="168" fontId="13" fillId="2" borderId="0" xfId="3" applyNumberFormat="1" applyFont="1" applyFill="1"/>
    <xf numFmtId="0" fontId="3" fillId="2" borderId="1" xfId="3" applyFont="1" applyFill="1" applyBorder="1" applyAlignment="1">
      <alignment horizontal="center" vertical="center" wrapText="1"/>
    </xf>
    <xf numFmtId="168" fontId="3" fillId="2" borderId="1" xfId="3" applyNumberFormat="1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/>
    </xf>
    <xf numFmtId="1" fontId="3" fillId="2" borderId="1" xfId="7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/>
    </xf>
    <xf numFmtId="166" fontId="4" fillId="2" borderId="1" xfId="3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/>
    </xf>
    <xf numFmtId="0" fontId="1" fillId="2" borderId="1" xfId="3" applyFont="1" applyFill="1" applyBorder="1" applyAlignment="1"/>
    <xf numFmtId="49" fontId="3" fillId="2" borderId="1" xfId="9" applyNumberFormat="1" applyFont="1" applyFill="1" applyBorder="1" applyAlignment="1">
      <alignment wrapText="1"/>
    </xf>
    <xf numFmtId="49" fontId="1" fillId="2" borderId="1" xfId="7" applyNumberFormat="1" applyFont="1" applyFill="1" applyBorder="1" applyAlignment="1">
      <alignment horizontal="left" wrapText="1"/>
    </xf>
    <xf numFmtId="166" fontId="2" fillId="2" borderId="1" xfId="3" applyNumberFormat="1" applyFont="1" applyFill="1" applyBorder="1" applyAlignment="1"/>
    <xf numFmtId="0" fontId="13" fillId="2" borderId="1" xfId="3" applyFont="1" applyFill="1" applyBorder="1" applyAlignment="1">
      <alignment vertical="top"/>
    </xf>
    <xf numFmtId="166" fontId="1" fillId="2" borderId="1" xfId="3" applyNumberFormat="1" applyFont="1" applyFill="1" applyBorder="1" applyAlignment="1"/>
    <xf numFmtId="49" fontId="3" fillId="2" borderId="3" xfId="7" applyNumberFormat="1" applyFont="1" applyFill="1" applyBorder="1" applyAlignment="1">
      <alignment wrapText="1"/>
    </xf>
    <xf numFmtId="49" fontId="3" fillId="2" borderId="2" xfId="7" applyNumberFormat="1" applyFont="1" applyFill="1" applyBorder="1" applyAlignment="1">
      <alignment horizontal="center"/>
    </xf>
    <xf numFmtId="49" fontId="3" fillId="2" borderId="9" xfId="7" applyNumberFormat="1" applyFont="1" applyFill="1" applyBorder="1" applyAlignment="1">
      <alignment horizontal="center"/>
    </xf>
    <xf numFmtId="49" fontId="3" fillId="2" borderId="3" xfId="7" applyNumberFormat="1" applyFont="1" applyFill="1" applyBorder="1" applyAlignment="1">
      <alignment horizontal="center"/>
    </xf>
    <xf numFmtId="49" fontId="3" fillId="2" borderId="1" xfId="7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wrapText="1"/>
    </xf>
    <xf numFmtId="49" fontId="1" fillId="2" borderId="26" xfId="14" applyNumberFormat="1" applyFont="1" applyFill="1" applyBorder="1" applyAlignment="1">
      <alignment wrapText="1"/>
    </xf>
    <xf numFmtId="49" fontId="1" fillId="2" borderId="1" xfId="14" applyNumberFormat="1" applyFont="1" applyFill="1" applyBorder="1" applyAlignment="1">
      <alignment wrapText="1"/>
    </xf>
    <xf numFmtId="49" fontId="2" fillId="2" borderId="1" xfId="4" applyNumberFormat="1" applyFont="1" applyFill="1" applyBorder="1" applyAlignment="1" applyProtection="1">
      <alignment horizontal="left" vertical="top" wrapText="1"/>
      <protection hidden="1"/>
    </xf>
    <xf numFmtId="49" fontId="1" fillId="2" borderId="19" xfId="14" applyNumberFormat="1" applyFont="1" applyFill="1" applyBorder="1" applyAlignment="1">
      <alignment wrapText="1"/>
    </xf>
    <xf numFmtId="49" fontId="1" fillId="2" borderId="30" xfId="14" applyNumberFormat="1" applyFont="1" applyFill="1" applyBorder="1" applyAlignment="1">
      <alignment wrapText="1"/>
    </xf>
    <xf numFmtId="49" fontId="1" fillId="2" borderId="13" xfId="14" applyNumberFormat="1" applyFont="1" applyFill="1" applyBorder="1" applyAlignment="1">
      <alignment wrapText="1"/>
    </xf>
    <xf numFmtId="49" fontId="3" fillId="2" borderId="1" xfId="7" applyNumberFormat="1" applyFont="1" applyFill="1" applyBorder="1" applyAlignment="1">
      <alignment horizontal="left" wrapText="1"/>
    </xf>
    <xf numFmtId="49" fontId="3" fillId="2" borderId="1" xfId="7" applyNumberFormat="1" applyFont="1" applyFill="1" applyBorder="1" applyAlignment="1">
      <alignment horizontal="center" wrapText="1"/>
    </xf>
    <xf numFmtId="49" fontId="2" fillId="2" borderId="2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wrapText="1"/>
    </xf>
    <xf numFmtId="170" fontId="1" fillId="2" borderId="0" xfId="7" applyNumberFormat="1" applyFont="1" applyFill="1" applyBorder="1" applyAlignment="1">
      <alignment horizontal="right"/>
    </xf>
    <xf numFmtId="0" fontId="3" fillId="2" borderId="3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 vertical="top"/>
    </xf>
    <xf numFmtId="0" fontId="4" fillId="2" borderId="5" xfId="3" applyFont="1" applyFill="1" applyBorder="1" applyAlignment="1">
      <alignment vertical="top" wrapText="1"/>
    </xf>
    <xf numFmtId="175" fontId="4" fillId="2" borderId="5" xfId="13" applyNumberFormat="1" applyFont="1" applyFill="1" applyBorder="1" applyAlignment="1">
      <alignment horizontal="right" vertical="center"/>
    </xf>
    <xf numFmtId="0" fontId="4" fillId="2" borderId="12" xfId="3" applyFont="1" applyFill="1" applyBorder="1" applyAlignment="1">
      <alignment horizontal="center" vertical="top"/>
    </xf>
    <xf numFmtId="0" fontId="4" fillId="2" borderId="11" xfId="3" applyFont="1" applyFill="1" applyBorder="1" applyAlignment="1">
      <alignment vertical="top" wrapText="1"/>
    </xf>
    <xf numFmtId="175" fontId="4" fillId="2" borderId="12" xfId="13" applyNumberFormat="1" applyFont="1" applyFill="1" applyBorder="1" applyAlignment="1">
      <alignment horizontal="right" vertical="center"/>
    </xf>
    <xf numFmtId="0" fontId="3" fillId="2" borderId="12" xfId="3" applyFont="1" applyFill="1" applyBorder="1" applyAlignment="1">
      <alignment horizontal="center" vertical="top"/>
    </xf>
    <xf numFmtId="0" fontId="3" fillId="2" borderId="11" xfId="3" applyFont="1" applyFill="1" applyBorder="1" applyAlignment="1">
      <alignment vertical="top" wrapText="1"/>
    </xf>
    <xf numFmtId="175" fontId="3" fillId="2" borderId="12" xfId="13" applyNumberFormat="1" applyFont="1" applyFill="1" applyBorder="1" applyAlignment="1">
      <alignment horizontal="right" vertical="center"/>
    </xf>
    <xf numFmtId="0" fontId="4" fillId="2" borderId="12" xfId="3" applyFont="1" applyFill="1" applyBorder="1" applyAlignment="1">
      <alignment wrapText="1"/>
    </xf>
    <xf numFmtId="0" fontId="3" fillId="2" borderId="12" xfId="3" applyFont="1" applyFill="1" applyBorder="1" applyAlignment="1">
      <alignment wrapText="1"/>
    </xf>
    <xf numFmtId="175" fontId="3" fillId="2" borderId="12" xfId="0" applyNumberFormat="1" applyFont="1" applyFill="1" applyBorder="1"/>
    <xf numFmtId="0" fontId="3" fillId="2" borderId="12" xfId="3" applyFont="1" applyFill="1" applyBorder="1" applyAlignment="1">
      <alignment vertical="top" wrapText="1"/>
    </xf>
    <xf numFmtId="0" fontId="3" fillId="2" borderId="13" xfId="3" applyFont="1" applyFill="1" applyBorder="1" applyAlignment="1">
      <alignment horizontal="center" vertical="top"/>
    </xf>
    <xf numFmtId="0" fontId="3" fillId="2" borderId="13" xfId="3" applyFont="1" applyFill="1" applyBorder="1" applyAlignment="1">
      <alignment vertical="top" wrapText="1"/>
    </xf>
    <xf numFmtId="0" fontId="3" fillId="2" borderId="0" xfId="3" applyFont="1" applyFill="1" applyBorder="1" applyAlignment="1">
      <alignment horizontal="center" vertical="top"/>
    </xf>
    <xf numFmtId="0" fontId="1" fillId="2" borderId="0" xfId="3" applyFont="1" applyFill="1" applyBorder="1" applyAlignment="1">
      <alignment wrapText="1"/>
    </xf>
    <xf numFmtId="175" fontId="1" fillId="2" borderId="0" xfId="3" applyNumberFormat="1" applyFont="1" applyFill="1" applyBorder="1" applyAlignment="1"/>
    <xf numFmtId="177" fontId="3" fillId="2" borderId="1" xfId="19" applyNumberFormat="1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/>
    </xf>
    <xf numFmtId="166" fontId="42" fillId="2" borderId="1" xfId="0" applyNumberFormat="1" applyFont="1" applyFill="1" applyBorder="1" applyAlignment="1">
      <alignment horizontal="right" vertical="top"/>
    </xf>
    <xf numFmtId="166" fontId="42" fillId="2" borderId="1" xfId="0" applyNumberFormat="1" applyFont="1" applyFill="1" applyBorder="1" applyAlignment="1">
      <alignment horizontal="right"/>
    </xf>
    <xf numFmtId="166" fontId="43" fillId="2" borderId="1" xfId="0" applyNumberFormat="1" applyFont="1" applyFill="1" applyBorder="1" applyAlignment="1">
      <alignment horizontal="right"/>
    </xf>
    <xf numFmtId="166" fontId="43" fillId="2" borderId="16" xfId="16" applyNumberFormat="1" applyFont="1" applyFill="1" applyBorder="1" applyAlignment="1">
      <alignment horizontal="right"/>
    </xf>
    <xf numFmtId="166" fontId="42" fillId="2" borderId="16" xfId="16" applyNumberFormat="1" applyFont="1" applyFill="1" applyBorder="1" applyAlignment="1">
      <alignment horizontal="right"/>
    </xf>
    <xf numFmtId="168" fontId="1" fillId="2" borderId="1" xfId="0" applyNumberFormat="1" applyFont="1" applyFill="1" applyBorder="1" applyAlignment="1">
      <alignment vertical="center" wrapText="1"/>
    </xf>
    <xf numFmtId="169" fontId="3" fillId="2" borderId="1" xfId="0" applyNumberFormat="1" applyFont="1" applyFill="1" applyBorder="1" applyAlignment="1">
      <alignment horizontal="center" wrapText="1"/>
    </xf>
    <xf numFmtId="166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wrapText="1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2" fillId="0" borderId="0" xfId="3" applyFont="1" applyFill="1" applyAlignment="1">
      <alignment horizontal="center"/>
    </xf>
    <xf numFmtId="0" fontId="3" fillId="0" borderId="1" xfId="3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top"/>
    </xf>
    <xf numFmtId="166" fontId="4" fillId="2" borderId="1" xfId="7" applyNumberFormat="1" applyFont="1" applyFill="1" applyBorder="1" applyAlignment="1">
      <alignment horizontal="right"/>
    </xf>
    <xf numFmtId="0" fontId="3" fillId="0" borderId="0" xfId="3" applyFont="1" applyFill="1"/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vertical="center"/>
    </xf>
    <xf numFmtId="166" fontId="3" fillId="2" borderId="1" xfId="0" applyNumberFormat="1" applyFont="1" applyFill="1" applyBorder="1"/>
    <xf numFmtId="0" fontId="45" fillId="2" borderId="0" xfId="0" applyFont="1" applyFill="1" applyAlignment="1">
      <alignment horizontal="right"/>
    </xf>
    <xf numFmtId="174" fontId="23" fillId="2" borderId="0" xfId="0" applyNumberFormat="1" applyFont="1" applyFill="1"/>
    <xf numFmtId="166" fontId="23" fillId="2" borderId="0" xfId="0" applyNumberFormat="1" applyFont="1" applyFill="1"/>
    <xf numFmtId="167" fontId="46" fillId="2" borderId="0" xfId="0" applyNumberFormat="1" applyFont="1" applyFill="1" applyAlignment="1">
      <alignment horizontal="right"/>
    </xf>
    <xf numFmtId="177" fontId="3" fillId="2" borderId="0" xfId="19" applyNumberFormat="1" applyFont="1" applyFill="1" applyAlignment="1">
      <alignment horizontal="right"/>
    </xf>
    <xf numFmtId="177" fontId="3" fillId="2" borderId="1" xfId="0" applyNumberFormat="1" applyFont="1" applyFill="1" applyBorder="1"/>
    <xf numFmtId="166" fontId="2" fillId="2" borderId="1" xfId="19" applyNumberFormat="1" applyFont="1" applyFill="1" applyBorder="1" applyAlignment="1">
      <alignment horizontal="right" vertical="top"/>
    </xf>
    <xf numFmtId="166" fontId="1" fillId="2" borderId="1" xfId="19" applyNumberFormat="1" applyFont="1" applyFill="1" applyBorder="1" applyAlignment="1">
      <alignment horizontal="right"/>
    </xf>
    <xf numFmtId="166" fontId="1" fillId="5" borderId="1" xfId="19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right"/>
    </xf>
    <xf numFmtId="166" fontId="1" fillId="2" borderId="16" xfId="12" applyNumberFormat="1" applyFont="1" applyFill="1" applyBorder="1" applyAlignment="1">
      <alignment horizontal="center"/>
    </xf>
    <xf numFmtId="166" fontId="1" fillId="2" borderId="23" xfId="14" applyNumberFormat="1" applyFont="1" applyFill="1" applyBorder="1" applyAlignment="1">
      <alignment horizontal="right"/>
    </xf>
    <xf numFmtId="166" fontId="1" fillId="2" borderId="1" xfId="16" applyNumberFormat="1" applyFont="1" applyFill="1" applyBorder="1" applyAlignment="1">
      <alignment horizontal="right"/>
    </xf>
    <xf numFmtId="166" fontId="1" fillId="2" borderId="1" xfId="12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1" fontId="2" fillId="2" borderId="0" xfId="2" applyNumberFormat="1" applyFont="1" applyFill="1" applyAlignment="1">
      <alignment horizontal="center" wrapText="1"/>
    </xf>
    <xf numFmtId="49" fontId="1" fillId="2" borderId="2" xfId="7" applyNumberFormat="1" applyFont="1" applyFill="1" applyBorder="1" applyAlignment="1">
      <alignment horizontal="center"/>
    </xf>
    <xf numFmtId="49" fontId="1" fillId="2" borderId="9" xfId="7" applyNumberFormat="1" applyFont="1" applyFill="1" applyBorder="1" applyAlignment="1">
      <alignment horizontal="center"/>
    </xf>
    <xf numFmtId="49" fontId="1" fillId="2" borderId="3" xfId="7" applyNumberFormat="1" applyFont="1" applyFill="1" applyBorder="1" applyAlignment="1">
      <alignment horizontal="center"/>
    </xf>
    <xf numFmtId="168" fontId="1" fillId="2" borderId="1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vertical="center" wrapText="1"/>
    </xf>
    <xf numFmtId="49" fontId="1" fillId="2" borderId="1" xfId="7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66" fontId="47" fillId="2" borderId="1" xfId="19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167" fontId="1" fillId="2" borderId="0" xfId="1" applyNumberFormat="1" applyFont="1" applyFill="1"/>
    <xf numFmtId="0" fontId="1" fillId="2" borderId="1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vertical="top"/>
    </xf>
    <xf numFmtId="0" fontId="1" fillId="2" borderId="0" xfId="7" applyFont="1" applyFill="1" applyBorder="1"/>
    <xf numFmtId="0" fontId="1" fillId="2" borderId="0" xfId="7" applyFont="1" applyFill="1" applyAlignment="1">
      <alignment wrapText="1"/>
    </xf>
    <xf numFmtId="171" fontId="26" fillId="2" borderId="0" xfId="3" applyNumberFormat="1" applyFont="1" applyFill="1"/>
    <xf numFmtId="0" fontId="14" fillId="2" borderId="0" xfId="3" applyFont="1" applyFill="1"/>
    <xf numFmtId="49" fontId="1" fillId="2" borderId="3" xfId="5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166" fontId="3" fillId="5" borderId="1" xfId="0" applyNumberFormat="1" applyFont="1" applyFill="1" applyBorder="1"/>
    <xf numFmtId="166" fontId="1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center" vertical="top"/>
    </xf>
    <xf numFmtId="49" fontId="1" fillId="6" borderId="3" xfId="0" applyNumberFormat="1" applyFont="1" applyFill="1" applyBorder="1" applyAlignment="1">
      <alignment wrapText="1"/>
    </xf>
    <xf numFmtId="49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/>
    </xf>
    <xf numFmtId="49" fontId="1" fillId="6" borderId="9" xfId="0" applyNumberFormat="1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49" fontId="1" fillId="6" borderId="3" xfId="5" applyNumberFormat="1" applyFont="1" applyFill="1" applyBorder="1" applyAlignment="1">
      <alignment horizontal="left" wrapText="1"/>
    </xf>
    <xf numFmtId="0" fontId="6" fillId="6" borderId="1" xfId="1" applyFont="1" applyFill="1" applyBorder="1" applyAlignment="1">
      <alignment horizontal="center" vertical="top"/>
    </xf>
    <xf numFmtId="0" fontId="6" fillId="6" borderId="1" xfId="0" applyFont="1" applyFill="1" applyBorder="1" applyAlignment="1">
      <alignment vertical="top" wrapText="1"/>
    </xf>
    <xf numFmtId="166" fontId="6" fillId="6" borderId="1" xfId="0" applyNumberFormat="1" applyFont="1" applyFill="1" applyBorder="1" applyAlignment="1">
      <alignment horizontal="right" vertical="top"/>
    </xf>
    <xf numFmtId="166" fontId="6" fillId="6" borderId="1" xfId="1" applyNumberFormat="1" applyFont="1" applyFill="1" applyBorder="1" applyAlignment="1">
      <alignment vertical="top"/>
    </xf>
    <xf numFmtId="167" fontId="1" fillId="6" borderId="1" xfId="1" applyNumberFormat="1" applyFont="1" applyFill="1" applyBorder="1" applyAlignment="1"/>
    <xf numFmtId="0" fontId="3" fillId="6" borderId="1" xfId="7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justify" vertical="top" wrapText="1"/>
    </xf>
    <xf numFmtId="49" fontId="1" fillId="7" borderId="3" xfId="0" applyNumberFormat="1" applyFont="1" applyFill="1" applyBorder="1" applyAlignment="1">
      <alignment wrapText="1"/>
    </xf>
    <xf numFmtId="49" fontId="1" fillId="7" borderId="2" xfId="0" applyNumberFormat="1" applyFont="1" applyFill="1" applyBorder="1" applyAlignment="1">
      <alignment horizontal="center"/>
    </xf>
    <xf numFmtId="49" fontId="1" fillId="7" borderId="9" xfId="0" applyNumberFormat="1" applyFont="1" applyFill="1" applyBorder="1" applyAlignment="1">
      <alignment horizontal="center"/>
    </xf>
    <xf numFmtId="49" fontId="1" fillId="7" borderId="3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/>
    </xf>
    <xf numFmtId="166" fontId="1" fillId="6" borderId="16" xfId="16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center" vertical="top"/>
    </xf>
    <xf numFmtId="0" fontId="3" fillId="6" borderId="1" xfId="5" applyFont="1" applyFill="1" applyBorder="1" applyAlignment="1">
      <alignment horizontal="left" vertical="top" wrapText="1"/>
    </xf>
    <xf numFmtId="166" fontId="3" fillId="6" borderId="1" xfId="5" applyNumberFormat="1" applyFont="1" applyFill="1" applyBorder="1" applyAlignment="1">
      <alignment horizontal="right" wrapText="1"/>
    </xf>
    <xf numFmtId="166" fontId="1" fillId="6" borderId="1" xfId="7" applyNumberFormat="1" applyFont="1" applyFill="1" applyBorder="1" applyAlignment="1">
      <alignment horizontal="right"/>
    </xf>
    <xf numFmtId="49" fontId="1" fillId="6" borderId="1" xfId="5" applyNumberFormat="1" applyFont="1" applyFill="1" applyBorder="1" applyAlignment="1">
      <alignment horizontal="left" wrapText="1"/>
    </xf>
    <xf numFmtId="166" fontId="1" fillId="2" borderId="21" xfId="16" applyNumberFormat="1" applyFont="1" applyFill="1" applyBorder="1" applyAlignment="1">
      <alignment horizontal="right"/>
    </xf>
    <xf numFmtId="49" fontId="1" fillId="6" borderId="18" xfId="16" applyNumberFormat="1" applyFont="1" applyFill="1" applyBorder="1" applyAlignment="1">
      <alignment wrapText="1"/>
    </xf>
    <xf numFmtId="49" fontId="1" fillId="6" borderId="23" xfId="11" applyNumberFormat="1" applyFont="1" applyFill="1" applyBorder="1" applyAlignment="1">
      <alignment horizontal="center" wrapText="1"/>
    </xf>
    <xf numFmtId="49" fontId="1" fillId="6" borderId="16" xfId="11" applyNumberFormat="1" applyFont="1" applyFill="1" applyBorder="1" applyAlignment="1">
      <alignment horizontal="center"/>
    </xf>
    <xf numFmtId="49" fontId="1" fillId="6" borderId="17" xfId="6" applyNumberFormat="1" applyFont="1" applyFill="1" applyBorder="1" applyAlignment="1">
      <alignment horizontal="center"/>
    </xf>
    <xf numFmtId="49" fontId="1" fillId="6" borderId="18" xfId="14" applyNumberFormat="1" applyFont="1" applyFill="1" applyBorder="1" applyAlignment="1">
      <alignment horizontal="center"/>
    </xf>
    <xf numFmtId="49" fontId="1" fillId="6" borderId="19" xfId="14" applyNumberFormat="1" applyFont="1" applyFill="1" applyBorder="1" applyAlignment="1">
      <alignment horizontal="center"/>
    </xf>
    <xf numFmtId="49" fontId="1" fillId="6" borderId="16" xfId="14" applyNumberFormat="1" applyFont="1" applyFill="1" applyBorder="1" applyAlignment="1">
      <alignment horizontal="center"/>
    </xf>
    <xf numFmtId="166" fontId="1" fillId="6" borderId="17" xfId="14" applyNumberFormat="1" applyFont="1" applyFill="1" applyBorder="1" applyAlignment="1">
      <alignment horizontal="right"/>
    </xf>
    <xf numFmtId="49" fontId="1" fillId="6" borderId="16" xfId="16" applyNumberFormat="1" applyFont="1" applyFill="1" applyBorder="1" applyAlignment="1">
      <alignment wrapText="1"/>
    </xf>
    <xf numFmtId="49" fontId="1" fillId="6" borderId="19" xfId="5" applyNumberFormat="1" applyFont="1" applyFill="1" applyBorder="1" applyAlignment="1">
      <alignment wrapText="1"/>
    </xf>
    <xf numFmtId="166" fontId="1" fillId="6" borderId="1" xfId="14" applyNumberFormat="1" applyFont="1" applyFill="1" applyBorder="1" applyAlignment="1">
      <alignment horizontal="right"/>
    </xf>
    <xf numFmtId="0" fontId="48" fillId="2" borderId="1" xfId="0" applyFont="1" applyFill="1" applyBorder="1" applyAlignment="1">
      <alignment horizontal="center" vertical="top"/>
    </xf>
    <xf numFmtId="0" fontId="49" fillId="2" borderId="0" xfId="0" applyFont="1" applyFill="1"/>
    <xf numFmtId="166" fontId="1" fillId="6" borderId="19" xfId="14" applyNumberFormat="1" applyFont="1" applyFill="1" applyBorder="1" applyAlignment="1">
      <alignment horizontal="right"/>
    </xf>
    <xf numFmtId="49" fontId="1" fillId="6" borderId="19" xfId="11" applyNumberFormat="1" applyFont="1" applyFill="1" applyBorder="1" applyAlignment="1">
      <alignment wrapText="1"/>
    </xf>
    <xf numFmtId="166" fontId="1" fillId="8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center" wrapText="1"/>
    </xf>
    <xf numFmtId="0" fontId="23" fillId="2" borderId="0" xfId="0" applyFont="1" applyFill="1" applyAlignment="1"/>
    <xf numFmtId="0" fontId="2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justify" wrapText="1"/>
    </xf>
    <xf numFmtId="170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left" wrapText="1"/>
    </xf>
    <xf numFmtId="0" fontId="2" fillId="0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6" fontId="3" fillId="2" borderId="3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top" wrapText="1"/>
    </xf>
    <xf numFmtId="0" fontId="3" fillId="0" borderId="0" xfId="3" applyFont="1" applyFill="1" applyAlignment="1">
      <alignment horizontal="right" wrapText="1"/>
    </xf>
    <xf numFmtId="0" fontId="1" fillId="0" borderId="0" xfId="7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7" applyFont="1" applyFill="1" applyBorder="1" applyAlignment="1">
      <alignment horizontal="left"/>
    </xf>
    <xf numFmtId="0" fontId="0" fillId="0" borderId="0" xfId="0" applyAlignment="1"/>
    <xf numFmtId="0" fontId="1" fillId="0" borderId="0" xfId="7" applyFont="1" applyFill="1" applyAlignment="1">
      <alignment horizontal="left"/>
    </xf>
    <xf numFmtId="0" fontId="2" fillId="0" borderId="0" xfId="3" applyFont="1" applyFill="1" applyAlignment="1">
      <alignment horizontal="center"/>
    </xf>
    <xf numFmtId="0" fontId="2" fillId="2" borderId="0" xfId="3" applyFont="1" applyFill="1" applyAlignment="1">
      <alignment horizontal="center"/>
    </xf>
    <xf numFmtId="0" fontId="7" fillId="2" borderId="0" xfId="7" applyFont="1" applyFill="1" applyAlignment="1">
      <alignment horizontal="center"/>
    </xf>
    <xf numFmtId="170" fontId="1" fillId="2" borderId="1" xfId="1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1" fontId="2" fillId="2" borderId="0" xfId="2" applyNumberFormat="1" applyFont="1" applyFill="1" applyAlignment="1">
      <alignment horizontal="center" wrapText="1"/>
    </xf>
    <xf numFmtId="49" fontId="1" fillId="2" borderId="6" xfId="7" applyNumberFormat="1" applyFont="1" applyFill="1" applyBorder="1" applyAlignment="1">
      <alignment horizontal="center" vertical="center"/>
    </xf>
    <xf numFmtId="49" fontId="1" fillId="2" borderId="7" xfId="7" applyNumberFormat="1" applyFont="1" applyFill="1" applyBorder="1" applyAlignment="1">
      <alignment horizontal="center" vertical="center"/>
    </xf>
    <xf numFmtId="49" fontId="1" fillId="2" borderId="8" xfId="7" applyNumberFormat="1" applyFont="1" applyFill="1" applyBorder="1" applyAlignment="1">
      <alignment horizontal="center" vertical="center"/>
    </xf>
    <xf numFmtId="49" fontId="1" fillId="2" borderId="2" xfId="7" applyNumberFormat="1" applyFont="1" applyFill="1" applyBorder="1" applyAlignment="1">
      <alignment horizontal="center"/>
    </xf>
    <xf numFmtId="49" fontId="1" fillId="2" borderId="9" xfId="7" applyNumberFormat="1" applyFont="1" applyFill="1" applyBorder="1" applyAlignment="1">
      <alignment horizontal="center"/>
    </xf>
    <xf numFmtId="49" fontId="1" fillId="2" borderId="3" xfId="7" applyNumberFormat="1" applyFont="1" applyFill="1" applyBorder="1" applyAlignment="1">
      <alignment horizontal="center"/>
    </xf>
    <xf numFmtId="168" fontId="1" fillId="2" borderId="1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vertical="center" wrapText="1"/>
    </xf>
    <xf numFmtId="49" fontId="1" fillId="2" borderId="1" xfId="7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3" applyFont="1" applyFill="1" applyBorder="1" applyAlignment="1">
      <alignment horizontal="center" vertical="center"/>
    </xf>
    <xf numFmtId="0" fontId="1" fillId="2" borderId="13" xfId="3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31" fillId="2" borderId="5" xfId="0" applyNumberFormat="1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>
      <alignment horizontal="center" vertical="center" wrapText="1"/>
    </xf>
    <xf numFmtId="169" fontId="18" fillId="2" borderId="1" xfId="0" applyNumberFormat="1" applyFont="1" applyFill="1" applyBorder="1" applyAlignment="1">
      <alignment horizontal="center" vertical="center" wrapText="1"/>
    </xf>
    <xf numFmtId="169" fontId="3" fillId="2" borderId="6" xfId="0" applyNumberFormat="1" applyFont="1" applyFill="1" applyBorder="1" applyAlignment="1">
      <alignment horizontal="center" vertical="center" wrapText="1"/>
    </xf>
    <xf numFmtId="49" fontId="43" fillId="2" borderId="5" xfId="0" applyNumberFormat="1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center" wrapText="1"/>
    </xf>
    <xf numFmtId="0" fontId="18" fillId="2" borderId="0" xfId="7" applyFont="1" applyFill="1" applyAlignment="1">
      <alignment horizontal="center" wrapText="1"/>
    </xf>
    <xf numFmtId="168" fontId="3" fillId="0" borderId="2" xfId="7" applyNumberFormat="1" applyFont="1" applyFill="1" applyBorder="1" applyAlignment="1">
      <alignment horizontal="center"/>
    </xf>
    <xf numFmtId="168" fontId="3" fillId="0" borderId="3" xfId="7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68" fontId="3" fillId="0" borderId="1" xfId="7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7" applyFont="1" applyFill="1" applyAlignment="1">
      <alignment horizontal="center" wrapText="1"/>
    </xf>
    <xf numFmtId="0" fontId="1" fillId="0" borderId="2" xfId="7" applyFont="1" applyFill="1" applyBorder="1" applyAlignment="1">
      <alignment horizontal="center" vertical="center"/>
    </xf>
    <xf numFmtId="0" fontId="18" fillId="0" borderId="9" xfId="7" applyFont="1" applyFill="1" applyBorder="1" applyAlignment="1">
      <alignment horizontal="center"/>
    </xf>
    <xf numFmtId="0" fontId="18" fillId="0" borderId="3" xfId="7" applyFont="1" applyFill="1" applyBorder="1" applyAlignment="1">
      <alignment horizontal="center"/>
    </xf>
    <xf numFmtId="0" fontId="2" fillId="0" borderId="2" xfId="7" applyFont="1" applyFill="1" applyBorder="1" applyAlignment="1"/>
    <xf numFmtId="0" fontId="18" fillId="0" borderId="9" xfId="7" applyFont="1" applyFill="1" applyBorder="1" applyAlignment="1"/>
    <xf numFmtId="0" fontId="18" fillId="0" borderId="3" xfId="7" applyFont="1" applyFill="1" applyBorder="1" applyAlignment="1"/>
    <xf numFmtId="0" fontId="1" fillId="0" borderId="9" xfId="7" applyFont="1" applyFill="1" applyBorder="1" applyAlignment="1">
      <alignment horizontal="center" vertical="center"/>
    </xf>
    <xf numFmtId="0" fontId="1" fillId="0" borderId="3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3" applyFont="1" applyBorder="1" applyAlignment="1">
      <alignment horizontal="center" wrapText="1"/>
    </xf>
    <xf numFmtId="0" fontId="1" fillId="0" borderId="1" xfId="3" applyFont="1" applyBorder="1" applyAlignment="1">
      <alignment horizontal="center" vertical="justify"/>
    </xf>
    <xf numFmtId="0" fontId="2" fillId="0" borderId="0" xfId="3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3" applyFont="1" applyAlignment="1">
      <alignment horizontal="center" wrapText="1"/>
    </xf>
    <xf numFmtId="0" fontId="17" fillId="0" borderId="0" xfId="0" applyFont="1" applyAlignment="1">
      <alignment wrapText="1"/>
    </xf>
    <xf numFmtId="0" fontId="1" fillId="0" borderId="0" xfId="3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2" xfId="3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justify" wrapText="1"/>
    </xf>
    <xf numFmtId="0" fontId="1" fillId="0" borderId="0" xfId="3" applyFont="1" applyAlignment="1">
      <alignment wrapText="1"/>
    </xf>
    <xf numFmtId="0" fontId="18" fillId="0" borderId="0" xfId="0" applyFont="1" applyAlignment="1">
      <alignment wrapText="1"/>
    </xf>
    <xf numFmtId="0" fontId="1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/>
    <xf numFmtId="0" fontId="3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5" xfId="3" applyFont="1" applyBorder="1" applyAlignment="1">
      <alignment horizontal="center" vertical="justify"/>
    </xf>
    <xf numFmtId="0" fontId="1" fillId="0" borderId="12" xfId="3" applyFont="1" applyBorder="1" applyAlignment="1">
      <alignment horizontal="center" vertical="justify"/>
    </xf>
    <xf numFmtId="0" fontId="1" fillId="0" borderId="13" xfId="3" applyFont="1" applyBorder="1" applyAlignment="1">
      <alignment horizontal="center" vertical="justify"/>
    </xf>
    <xf numFmtId="0" fontId="17" fillId="0" borderId="0" xfId="0" applyFont="1" applyAlignment="1">
      <alignment horizontal="center" wrapText="1"/>
    </xf>
    <xf numFmtId="0" fontId="1" fillId="0" borderId="5" xfId="3" applyFont="1" applyBorder="1" applyAlignment="1">
      <alignment horizontal="center" vertical="center" wrapText="1"/>
    </xf>
    <xf numFmtId="0" fontId="1" fillId="0" borderId="13" xfId="3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</cellXfs>
  <cellStyles count="20">
    <cellStyle name="Excel Built-in Normal" xfId="5"/>
    <cellStyle name="Excel Built-in Normal 1" xfId="11"/>
    <cellStyle name="Excel Built-in Normal 2" xfId="14"/>
    <cellStyle name="Excel Built-in Normal 3" xfId="16"/>
    <cellStyle name="Обычный" xfId="0" builtinId="0"/>
    <cellStyle name="Обычный 2" xfId="7"/>
    <cellStyle name="Обычный 2 2" xfId="8"/>
    <cellStyle name="Обычный 2 2 2" xfId="4"/>
    <cellStyle name="Обычный 2 2 3" xfId="18"/>
    <cellStyle name="Обычный 3" xfId="15"/>
    <cellStyle name="Обычный 3 2" xfId="17"/>
    <cellStyle name="Обычный_ведомственная  и прилож. на 2008 год без краевых-2" xfId="9"/>
    <cellStyle name="Обычный_ведомственная  и прилож. на 2008 год без краевых-2 2" xfId="12"/>
    <cellStyle name="Обычный_ведомственная  и прилож. на 2008 год без краевых-2 2 2" xfId="6"/>
    <cellStyle name="Обычный_Приложение № 2 к проекту бюджета" xfId="1"/>
    <cellStyle name="Обычный_расчеты к бю.джету1" xfId="2"/>
    <cellStyle name="Обычный_Функциональная структура расходов бюджета на 2005 год" xfId="3"/>
    <cellStyle name="Финансовый" xfId="19" builtinId="3"/>
    <cellStyle name="Финансовый [0]" xfId="13" builtinId="6"/>
    <cellStyle name="Финансовый 2" xfId="10"/>
  </cellStyles>
  <dxfs count="0"/>
  <tableStyles count="0" defaultTableStyle="TableStyleMedium2" defaultPivotStyle="PivotStyleMedium9"/>
  <colors>
    <mruColors>
      <color rgb="FF8A0000"/>
      <color rgb="FF0000FF"/>
      <color rgb="FF99FF99"/>
      <color rgb="FFFFFFCC"/>
      <color rgb="FFCCECFF"/>
      <color rgb="FFFFCC00"/>
      <color rgb="FFFFCCFF"/>
      <color rgb="FF66FFFF"/>
      <color rgb="FFCCFF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H223"/>
  <sheetViews>
    <sheetView zoomScale="80" zoomScaleNormal="80" workbookViewId="0">
      <selection activeCell="C2" sqref="C2"/>
    </sheetView>
  </sheetViews>
  <sheetFormatPr defaultColWidth="8.85546875" defaultRowHeight="15"/>
  <cols>
    <col min="1" max="1" width="19.140625" style="500" customWidth="1"/>
    <col min="2" max="2" width="27.5703125" style="500" customWidth="1"/>
    <col min="3" max="3" width="65.28515625" style="497" customWidth="1"/>
    <col min="4" max="16384" width="8.85546875" style="194"/>
  </cols>
  <sheetData>
    <row r="1" spans="1:4" s="556" customFormat="1" ht="18.75">
      <c r="A1" s="194"/>
      <c r="B1" s="194"/>
      <c r="C1" s="445" t="s">
        <v>408</v>
      </c>
    </row>
    <row r="2" spans="1:4" s="556" customFormat="1" ht="18.75">
      <c r="A2" s="194"/>
      <c r="B2" s="194"/>
      <c r="C2" s="445" t="s">
        <v>1017</v>
      </c>
    </row>
    <row r="4" spans="1:4" ht="18.75">
      <c r="C4" s="496" t="s">
        <v>408</v>
      </c>
    </row>
    <row r="5" spans="1:4" ht="18.75">
      <c r="C5" s="496" t="s">
        <v>922</v>
      </c>
    </row>
    <row r="6" spans="1:4" ht="18.75">
      <c r="C6" s="496"/>
    </row>
    <row r="7" spans="1:4" ht="62.25" customHeight="1">
      <c r="A7" s="809" t="s">
        <v>735</v>
      </c>
      <c r="B7" s="810"/>
      <c r="C7" s="810"/>
    </row>
    <row r="9" spans="1:4">
      <c r="A9" s="811"/>
      <c r="B9" s="811"/>
    </row>
    <row r="10" spans="1:4" ht="36" customHeight="1">
      <c r="A10" s="814" t="s">
        <v>0</v>
      </c>
      <c r="B10" s="815"/>
      <c r="C10" s="812" t="s">
        <v>364</v>
      </c>
    </row>
    <row r="11" spans="1:4" ht="225">
      <c r="A11" s="202" t="s">
        <v>678</v>
      </c>
      <c r="B11" s="202" t="s">
        <v>679</v>
      </c>
      <c r="C11" s="813"/>
    </row>
    <row r="12" spans="1:4" ht="18.75">
      <c r="A12" s="202">
        <v>1</v>
      </c>
      <c r="B12" s="202">
        <v>2</v>
      </c>
      <c r="C12" s="197">
        <v>3</v>
      </c>
    </row>
    <row r="13" spans="1:4" ht="54" customHeight="1">
      <c r="A13" s="492">
        <v>804</v>
      </c>
      <c r="B13" s="202"/>
      <c r="C13" s="204" t="s">
        <v>697</v>
      </c>
    </row>
    <row r="14" spans="1:4" ht="93.75" customHeight="1">
      <c r="A14" s="202">
        <v>804</v>
      </c>
      <c r="B14" s="202" t="s">
        <v>636</v>
      </c>
      <c r="C14" s="199" t="s">
        <v>846</v>
      </c>
      <c r="D14" s="575"/>
    </row>
    <row r="15" spans="1:4" ht="23.25" customHeight="1">
      <c r="A15" s="492">
        <v>816</v>
      </c>
      <c r="B15" s="492"/>
      <c r="C15" s="204" t="s">
        <v>698</v>
      </c>
    </row>
    <row r="16" spans="1:4" ht="103.5" customHeight="1">
      <c r="A16" s="202">
        <v>816</v>
      </c>
      <c r="B16" s="202" t="s">
        <v>636</v>
      </c>
      <c r="C16" s="199" t="s">
        <v>846</v>
      </c>
    </row>
    <row r="17" spans="1:3" ht="56.25">
      <c r="A17" s="492">
        <v>819</v>
      </c>
      <c r="B17" s="202"/>
      <c r="C17" s="204" t="s">
        <v>699</v>
      </c>
    </row>
    <row r="18" spans="1:3" ht="93.75" customHeight="1">
      <c r="A18" s="202">
        <v>819</v>
      </c>
      <c r="B18" s="202" t="s">
        <v>636</v>
      </c>
      <c r="C18" s="199" t="s">
        <v>846</v>
      </c>
    </row>
    <row r="19" spans="1:3" ht="37.5">
      <c r="A19" s="492">
        <v>821</v>
      </c>
      <c r="B19" s="202"/>
      <c r="C19" s="204" t="s">
        <v>700</v>
      </c>
    </row>
    <row r="20" spans="1:3" ht="94.5" customHeight="1">
      <c r="A20" s="202">
        <v>821</v>
      </c>
      <c r="B20" s="202" t="s">
        <v>636</v>
      </c>
      <c r="C20" s="199" t="s">
        <v>846</v>
      </c>
    </row>
    <row r="21" spans="1:3" ht="35.25" customHeight="1">
      <c r="A21" s="492">
        <v>828</v>
      </c>
      <c r="B21" s="202"/>
      <c r="C21" s="204" t="s">
        <v>701</v>
      </c>
    </row>
    <row r="22" spans="1:3" ht="97.5" customHeight="1">
      <c r="A22" s="202">
        <v>828</v>
      </c>
      <c r="B22" s="202" t="s">
        <v>636</v>
      </c>
      <c r="C22" s="199" t="s">
        <v>846</v>
      </c>
    </row>
    <row r="23" spans="1:3" ht="37.5">
      <c r="A23" s="493">
        <v>830</v>
      </c>
      <c r="B23" s="202"/>
      <c r="C23" s="204" t="s">
        <v>702</v>
      </c>
    </row>
    <row r="24" spans="1:3" ht="99" customHeight="1">
      <c r="A24" s="202">
        <v>830</v>
      </c>
      <c r="B24" s="202" t="s">
        <v>636</v>
      </c>
      <c r="C24" s="199" t="s">
        <v>846</v>
      </c>
    </row>
    <row r="25" spans="1:3" ht="18.75">
      <c r="A25" s="493">
        <v>833</v>
      </c>
      <c r="B25" s="202"/>
      <c r="C25" s="204" t="s">
        <v>703</v>
      </c>
    </row>
    <row r="26" spans="1:3" ht="94.5" customHeight="1">
      <c r="A26" s="202">
        <v>833</v>
      </c>
      <c r="B26" s="202" t="s">
        <v>636</v>
      </c>
      <c r="C26" s="199" t="s">
        <v>846</v>
      </c>
    </row>
    <row r="27" spans="1:3" ht="37.5">
      <c r="A27" s="492">
        <v>835</v>
      </c>
      <c r="B27" s="202"/>
      <c r="C27" s="204" t="s">
        <v>704</v>
      </c>
    </row>
    <row r="28" spans="1:3" ht="94.5" customHeight="1">
      <c r="A28" s="202">
        <v>835</v>
      </c>
      <c r="B28" s="202" t="s">
        <v>636</v>
      </c>
      <c r="C28" s="199" t="s">
        <v>846</v>
      </c>
    </row>
    <row r="29" spans="1:3" ht="37.5">
      <c r="A29" s="493">
        <v>836</v>
      </c>
      <c r="B29" s="202"/>
      <c r="C29" s="204" t="s">
        <v>705</v>
      </c>
    </row>
    <row r="30" spans="1:3" ht="112.5" customHeight="1">
      <c r="A30" s="202">
        <v>836</v>
      </c>
      <c r="B30" s="202" t="s">
        <v>706</v>
      </c>
      <c r="C30" s="199" t="s">
        <v>853</v>
      </c>
    </row>
    <row r="31" spans="1:3" ht="138" customHeight="1">
      <c r="A31" s="202">
        <v>836</v>
      </c>
      <c r="B31" s="202" t="s">
        <v>707</v>
      </c>
      <c r="C31" s="199" t="s">
        <v>854</v>
      </c>
    </row>
    <row r="32" spans="1:3" ht="113.25" customHeight="1">
      <c r="A32" s="202">
        <v>836</v>
      </c>
      <c r="B32" s="202" t="s">
        <v>708</v>
      </c>
      <c r="C32" s="199" t="s">
        <v>855</v>
      </c>
    </row>
    <row r="33" spans="1:3" ht="129" customHeight="1">
      <c r="A33" s="202">
        <v>836</v>
      </c>
      <c r="B33" s="202" t="s">
        <v>709</v>
      </c>
      <c r="C33" s="199" t="s">
        <v>856</v>
      </c>
    </row>
    <row r="34" spans="1:3" ht="117" customHeight="1">
      <c r="A34" s="202">
        <v>836</v>
      </c>
      <c r="B34" s="202" t="s">
        <v>710</v>
      </c>
      <c r="C34" s="199" t="s">
        <v>857</v>
      </c>
    </row>
    <row r="35" spans="1:3" ht="112.5" customHeight="1">
      <c r="A35" s="202">
        <v>836</v>
      </c>
      <c r="B35" s="202" t="s">
        <v>711</v>
      </c>
      <c r="C35" s="199" t="s">
        <v>858</v>
      </c>
    </row>
    <row r="36" spans="1:3" ht="112.5" customHeight="1">
      <c r="A36" s="202">
        <v>836</v>
      </c>
      <c r="B36" s="202" t="s">
        <v>712</v>
      </c>
      <c r="C36" s="199" t="s">
        <v>859</v>
      </c>
    </row>
    <row r="37" spans="1:3" ht="110.25" customHeight="1">
      <c r="A37" s="202">
        <v>836</v>
      </c>
      <c r="B37" s="202" t="s">
        <v>714</v>
      </c>
      <c r="C37" s="199" t="s">
        <v>861</v>
      </c>
    </row>
    <row r="38" spans="1:3" ht="132" customHeight="1">
      <c r="A38" s="202">
        <v>836</v>
      </c>
      <c r="B38" s="202" t="s">
        <v>715</v>
      </c>
      <c r="C38" s="230" t="s">
        <v>862</v>
      </c>
    </row>
    <row r="39" spans="1:3" ht="171.75" customHeight="1">
      <c r="A39" s="202">
        <v>836</v>
      </c>
      <c r="B39" s="202" t="s">
        <v>716</v>
      </c>
      <c r="C39" s="199" t="s">
        <v>863</v>
      </c>
    </row>
    <row r="40" spans="1:3" ht="120" customHeight="1">
      <c r="A40" s="202">
        <v>836</v>
      </c>
      <c r="B40" s="202" t="s">
        <v>717</v>
      </c>
      <c r="C40" s="199" t="s">
        <v>847</v>
      </c>
    </row>
    <row r="41" spans="1:3" ht="114" customHeight="1">
      <c r="A41" s="202">
        <v>836</v>
      </c>
      <c r="B41" s="202" t="s">
        <v>718</v>
      </c>
      <c r="C41" s="199" t="s">
        <v>848</v>
      </c>
    </row>
    <row r="42" spans="1:3" ht="168" customHeight="1">
      <c r="A42" s="202">
        <v>836</v>
      </c>
      <c r="B42" s="202" t="s">
        <v>719</v>
      </c>
      <c r="C42" s="199" t="s">
        <v>849</v>
      </c>
    </row>
    <row r="43" spans="1:3" ht="111.75" customHeight="1">
      <c r="A43" s="202">
        <v>836</v>
      </c>
      <c r="B43" s="202" t="s">
        <v>720</v>
      </c>
      <c r="C43" s="199" t="s">
        <v>850</v>
      </c>
    </row>
    <row r="44" spans="1:3" ht="129" customHeight="1">
      <c r="A44" s="202">
        <v>836</v>
      </c>
      <c r="B44" s="202" t="s">
        <v>721</v>
      </c>
      <c r="C44" s="199" t="s">
        <v>851</v>
      </c>
    </row>
    <row r="45" spans="1:3" ht="195" customHeight="1">
      <c r="A45" s="202">
        <v>836</v>
      </c>
      <c r="B45" s="202" t="s">
        <v>912</v>
      </c>
      <c r="C45" s="199" t="s">
        <v>913</v>
      </c>
    </row>
    <row r="46" spans="1:3" ht="37.5">
      <c r="A46" s="492">
        <v>840</v>
      </c>
      <c r="B46" s="202"/>
      <c r="C46" s="204" t="s">
        <v>722</v>
      </c>
    </row>
    <row r="47" spans="1:3" ht="93" customHeight="1">
      <c r="A47" s="202">
        <v>840</v>
      </c>
      <c r="B47" s="202" t="s">
        <v>636</v>
      </c>
      <c r="C47" s="199" t="s">
        <v>846</v>
      </c>
    </row>
    <row r="48" spans="1:3" ht="37.5">
      <c r="A48" s="492">
        <v>854</v>
      </c>
      <c r="B48" s="202"/>
      <c r="C48" s="204" t="s">
        <v>723</v>
      </c>
    </row>
    <row r="49" spans="1:6" ht="93.75" customHeight="1">
      <c r="A49" s="202">
        <v>854</v>
      </c>
      <c r="B49" s="202" t="s">
        <v>636</v>
      </c>
      <c r="C49" s="199" t="s">
        <v>846</v>
      </c>
    </row>
    <row r="50" spans="1:6" ht="102" customHeight="1">
      <c r="A50" s="202">
        <v>854</v>
      </c>
      <c r="B50" s="202" t="s">
        <v>745</v>
      </c>
      <c r="C50" s="199" t="s">
        <v>746</v>
      </c>
    </row>
    <row r="51" spans="1:6" ht="154.5" customHeight="1">
      <c r="A51" s="202">
        <v>854</v>
      </c>
      <c r="B51" s="202" t="s">
        <v>747</v>
      </c>
      <c r="C51" s="199" t="s">
        <v>852</v>
      </c>
    </row>
    <row r="52" spans="1:6" ht="37.5">
      <c r="A52" s="493">
        <v>902</v>
      </c>
      <c r="B52" s="501"/>
      <c r="C52" s="204" t="s">
        <v>1</v>
      </c>
    </row>
    <row r="53" spans="1:6" s="193" customFormat="1" ht="37.5">
      <c r="A53" s="501">
        <v>902</v>
      </c>
      <c r="B53" s="501" t="s">
        <v>613</v>
      </c>
      <c r="C53" s="199" t="s">
        <v>614</v>
      </c>
      <c r="D53" s="192"/>
      <c r="E53" s="192"/>
      <c r="F53" s="192"/>
    </row>
    <row r="54" spans="1:6" s="193" customFormat="1" ht="56.25">
      <c r="A54" s="501">
        <v>902</v>
      </c>
      <c r="B54" s="501" t="s">
        <v>615</v>
      </c>
      <c r="C54" s="199" t="s">
        <v>616</v>
      </c>
      <c r="D54" s="192"/>
      <c r="E54" s="192"/>
      <c r="F54" s="192"/>
    </row>
    <row r="55" spans="1:6" s="193" customFormat="1" ht="52.5" customHeight="1">
      <c r="A55" s="501">
        <v>902</v>
      </c>
      <c r="B55" s="501" t="s">
        <v>617</v>
      </c>
      <c r="C55" s="199" t="s">
        <v>30</v>
      </c>
      <c r="D55" s="192"/>
      <c r="E55" s="192"/>
      <c r="F55" s="192"/>
    </row>
    <row r="56" spans="1:6" s="193" customFormat="1" ht="39.75" customHeight="1">
      <c r="A56" s="501">
        <v>902</v>
      </c>
      <c r="B56" s="501" t="s">
        <v>618</v>
      </c>
      <c r="C56" s="199" t="s">
        <v>619</v>
      </c>
      <c r="D56" s="192"/>
      <c r="E56" s="192"/>
      <c r="F56" s="192"/>
    </row>
    <row r="57" spans="1:6" ht="113.25" customHeight="1">
      <c r="A57" s="202">
        <v>902</v>
      </c>
      <c r="B57" s="202" t="s">
        <v>706</v>
      </c>
      <c r="C57" s="199" t="s">
        <v>853</v>
      </c>
    </row>
    <row r="58" spans="1:6" ht="132" customHeight="1">
      <c r="A58" s="202">
        <v>902</v>
      </c>
      <c r="B58" s="202" t="s">
        <v>707</v>
      </c>
      <c r="C58" s="199" t="s">
        <v>854</v>
      </c>
    </row>
    <row r="59" spans="1:6" ht="111.75" customHeight="1">
      <c r="A59" s="202">
        <v>902</v>
      </c>
      <c r="B59" s="202" t="s">
        <v>708</v>
      </c>
      <c r="C59" s="199" t="s">
        <v>855</v>
      </c>
    </row>
    <row r="60" spans="1:6" s="577" customFormat="1" ht="112.9" customHeight="1">
      <c r="A60" s="501">
        <v>902</v>
      </c>
      <c r="B60" s="501" t="s">
        <v>734</v>
      </c>
      <c r="C60" s="199" t="s">
        <v>864</v>
      </c>
      <c r="D60" s="576"/>
      <c r="E60" s="576"/>
      <c r="F60" s="576"/>
    </row>
    <row r="61" spans="1:6" s="193" customFormat="1" ht="117" customHeight="1">
      <c r="A61" s="501">
        <v>902</v>
      </c>
      <c r="B61" s="501" t="s">
        <v>712</v>
      </c>
      <c r="C61" s="199" t="s">
        <v>865</v>
      </c>
      <c r="D61" s="192"/>
      <c r="E61" s="192"/>
      <c r="F61" s="192"/>
    </row>
    <row r="62" spans="1:6" s="555" customFormat="1" ht="119.25" customHeight="1">
      <c r="A62" s="501">
        <v>902</v>
      </c>
      <c r="B62" s="501" t="s">
        <v>713</v>
      </c>
      <c r="C62" s="199" t="s">
        <v>860</v>
      </c>
      <c r="D62" s="554"/>
      <c r="E62" s="554"/>
      <c r="F62" s="554"/>
    </row>
    <row r="63" spans="1:6" s="555" customFormat="1" ht="111.75" customHeight="1">
      <c r="A63" s="501">
        <v>902</v>
      </c>
      <c r="B63" s="501" t="s">
        <v>718</v>
      </c>
      <c r="C63" s="230" t="s">
        <v>848</v>
      </c>
      <c r="D63" s="554"/>
      <c r="E63" s="554"/>
      <c r="F63" s="554"/>
    </row>
    <row r="64" spans="1:6" s="193" customFormat="1" ht="113.25" customHeight="1">
      <c r="A64" s="501">
        <v>902</v>
      </c>
      <c r="B64" s="501" t="s">
        <v>720</v>
      </c>
      <c r="C64" s="199" t="s">
        <v>866</v>
      </c>
      <c r="D64" s="192"/>
      <c r="E64" s="192"/>
      <c r="F64" s="192"/>
    </row>
    <row r="65" spans="1:6" s="193" customFormat="1" ht="132.75" customHeight="1">
      <c r="A65" s="501">
        <v>902</v>
      </c>
      <c r="B65" s="501" t="s">
        <v>721</v>
      </c>
      <c r="C65" s="199" t="s">
        <v>867</v>
      </c>
      <c r="D65" s="192"/>
      <c r="E65" s="192"/>
      <c r="F65" s="192"/>
    </row>
    <row r="66" spans="1:6" s="193" customFormat="1" ht="112.5" customHeight="1">
      <c r="A66" s="202">
        <v>902</v>
      </c>
      <c r="B66" s="202" t="s">
        <v>620</v>
      </c>
      <c r="C66" s="199" t="s">
        <v>621</v>
      </c>
      <c r="D66" s="192"/>
      <c r="E66" s="192"/>
      <c r="F66" s="192"/>
    </row>
    <row r="67" spans="1:6" s="193" customFormat="1" ht="115.5" customHeight="1">
      <c r="A67" s="202">
        <v>902</v>
      </c>
      <c r="B67" s="202" t="s">
        <v>622</v>
      </c>
      <c r="C67" s="199" t="s">
        <v>623</v>
      </c>
      <c r="D67" s="192"/>
      <c r="E67" s="192"/>
      <c r="F67" s="192"/>
    </row>
    <row r="68" spans="1:6" s="193" customFormat="1" ht="72.75" customHeight="1">
      <c r="A68" s="202">
        <v>902</v>
      </c>
      <c r="B68" s="202" t="s">
        <v>624</v>
      </c>
      <c r="C68" s="199" t="s">
        <v>625</v>
      </c>
      <c r="D68" s="192"/>
      <c r="E68" s="192"/>
      <c r="F68" s="192"/>
    </row>
    <row r="69" spans="1:6" s="193" customFormat="1" ht="59.25" customHeight="1">
      <c r="A69" s="202">
        <v>902</v>
      </c>
      <c r="B69" s="202" t="s">
        <v>626</v>
      </c>
      <c r="C69" s="199" t="s">
        <v>627</v>
      </c>
      <c r="D69" s="192"/>
      <c r="E69" s="192"/>
      <c r="F69" s="192"/>
    </row>
    <row r="70" spans="1:6" s="193" customFormat="1" ht="222" customHeight="1">
      <c r="A70" s="202">
        <v>902</v>
      </c>
      <c r="B70" s="202" t="s">
        <v>628</v>
      </c>
      <c r="C70" s="199" t="s">
        <v>629</v>
      </c>
      <c r="D70" s="192"/>
      <c r="E70" s="192"/>
      <c r="F70" s="192"/>
    </row>
    <row r="71" spans="1:6" s="193" customFormat="1" ht="208.5" customHeight="1">
      <c r="A71" s="202">
        <v>902</v>
      </c>
      <c r="B71" s="202" t="s">
        <v>630</v>
      </c>
      <c r="C71" s="199" t="s">
        <v>631</v>
      </c>
      <c r="D71" s="192"/>
      <c r="E71" s="192"/>
      <c r="F71" s="192"/>
    </row>
    <row r="72" spans="1:6" s="193" customFormat="1" ht="153" customHeight="1">
      <c r="A72" s="202">
        <v>902</v>
      </c>
      <c r="B72" s="202" t="s">
        <v>632</v>
      </c>
      <c r="C72" s="199" t="s">
        <v>633</v>
      </c>
      <c r="D72" s="192"/>
      <c r="E72" s="192"/>
      <c r="F72" s="192"/>
    </row>
    <row r="73" spans="1:6" s="193" customFormat="1" ht="97.5" customHeight="1">
      <c r="A73" s="202">
        <v>902</v>
      </c>
      <c r="B73" s="202" t="s">
        <v>634</v>
      </c>
      <c r="C73" s="199" t="s">
        <v>635</v>
      </c>
      <c r="D73" s="192"/>
      <c r="E73" s="192"/>
      <c r="F73" s="192"/>
    </row>
    <row r="74" spans="1:6" s="495" customFormat="1" ht="97.5" customHeight="1">
      <c r="A74" s="202">
        <v>902</v>
      </c>
      <c r="B74" s="202" t="s">
        <v>636</v>
      </c>
      <c r="C74" s="230" t="s">
        <v>846</v>
      </c>
      <c r="D74" s="494"/>
      <c r="E74" s="494"/>
      <c r="F74" s="494"/>
    </row>
    <row r="75" spans="1:6" s="193" customFormat="1" ht="40.5" customHeight="1">
      <c r="A75" s="202">
        <v>902</v>
      </c>
      <c r="B75" s="202" t="s">
        <v>637</v>
      </c>
      <c r="C75" s="199" t="s">
        <v>2</v>
      </c>
      <c r="D75" s="192"/>
      <c r="E75" s="192"/>
      <c r="F75" s="192"/>
    </row>
    <row r="76" spans="1:6" s="193" customFormat="1" ht="37.5">
      <c r="A76" s="505" t="s">
        <v>3</v>
      </c>
      <c r="B76" s="501" t="s">
        <v>638</v>
      </c>
      <c r="C76" s="244" t="s">
        <v>529</v>
      </c>
      <c r="D76" s="192"/>
      <c r="E76" s="192"/>
      <c r="F76" s="192"/>
    </row>
    <row r="77" spans="1:6" s="193" customFormat="1" ht="38.25" customHeight="1">
      <c r="A77" s="501">
        <v>902</v>
      </c>
      <c r="B77" s="501" t="s">
        <v>751</v>
      </c>
      <c r="C77" s="244" t="s">
        <v>755</v>
      </c>
      <c r="D77" s="192"/>
      <c r="E77" s="192"/>
      <c r="F77" s="192"/>
    </row>
    <row r="78" spans="1:6" s="193" customFormat="1" ht="156" customHeight="1">
      <c r="A78" s="501">
        <v>902</v>
      </c>
      <c r="B78" s="501" t="s">
        <v>808</v>
      </c>
      <c r="C78" s="244" t="s">
        <v>807</v>
      </c>
      <c r="D78" s="192"/>
      <c r="E78" s="192"/>
      <c r="F78" s="192"/>
    </row>
    <row r="79" spans="1:6" s="193" customFormat="1" ht="117.6" customHeight="1">
      <c r="A79" s="501">
        <v>902</v>
      </c>
      <c r="B79" s="501" t="s">
        <v>812</v>
      </c>
      <c r="C79" s="244" t="s">
        <v>814</v>
      </c>
      <c r="D79" s="192"/>
      <c r="E79" s="192"/>
      <c r="F79" s="192"/>
    </row>
    <row r="80" spans="1:6" ht="27.75" customHeight="1">
      <c r="A80" s="202">
        <v>902</v>
      </c>
      <c r="B80" s="502" t="s">
        <v>542</v>
      </c>
      <c r="C80" s="199" t="s">
        <v>4</v>
      </c>
    </row>
    <row r="81" spans="1:6" ht="56.25">
      <c r="A81" s="202">
        <v>902</v>
      </c>
      <c r="B81" s="501" t="s">
        <v>543</v>
      </c>
      <c r="C81" s="199" t="s">
        <v>5</v>
      </c>
    </row>
    <row r="82" spans="1:6" ht="85.15" customHeight="1">
      <c r="A82" s="202">
        <v>902</v>
      </c>
      <c r="B82" s="501" t="s">
        <v>544</v>
      </c>
      <c r="C82" s="199" t="s">
        <v>455</v>
      </c>
    </row>
    <row r="83" spans="1:6" ht="62.25" customHeight="1">
      <c r="A83" s="202">
        <v>902</v>
      </c>
      <c r="B83" s="501" t="s">
        <v>900</v>
      </c>
      <c r="C83" s="634" t="s">
        <v>901</v>
      </c>
    </row>
    <row r="84" spans="1:6" ht="117.75" customHeight="1">
      <c r="A84" s="501">
        <v>902</v>
      </c>
      <c r="B84" s="501" t="s">
        <v>639</v>
      </c>
      <c r="C84" s="244" t="s">
        <v>640</v>
      </c>
    </row>
    <row r="85" spans="1:6" ht="59.25" customHeight="1">
      <c r="A85" s="501">
        <v>902</v>
      </c>
      <c r="B85" s="501" t="s">
        <v>641</v>
      </c>
      <c r="C85" s="244" t="s">
        <v>642</v>
      </c>
    </row>
    <row r="86" spans="1:6" ht="39.75" customHeight="1">
      <c r="A86" s="501">
        <v>902</v>
      </c>
      <c r="B86" s="501" t="s">
        <v>643</v>
      </c>
      <c r="C86" s="244" t="s">
        <v>644</v>
      </c>
    </row>
    <row r="87" spans="1:6" ht="78" customHeight="1">
      <c r="A87" s="202">
        <v>902</v>
      </c>
      <c r="B87" s="501" t="s">
        <v>595</v>
      </c>
      <c r="C87" s="199" t="s">
        <v>456</v>
      </c>
    </row>
    <row r="88" spans="1:6" ht="75">
      <c r="A88" s="202">
        <v>902</v>
      </c>
      <c r="B88" s="501" t="s">
        <v>564</v>
      </c>
      <c r="C88" s="199" t="s">
        <v>457</v>
      </c>
    </row>
    <row r="89" spans="1:6" s="193" customFormat="1" ht="59.25" customHeight="1">
      <c r="A89" s="501">
        <v>902</v>
      </c>
      <c r="B89" s="501" t="s">
        <v>361</v>
      </c>
      <c r="C89" s="199" t="s">
        <v>868</v>
      </c>
      <c r="D89" s="192"/>
      <c r="E89" s="192"/>
      <c r="F89" s="192"/>
    </row>
    <row r="90" spans="1:6" s="193" customFormat="1" ht="56.25">
      <c r="A90" s="501">
        <v>902</v>
      </c>
      <c r="B90" s="501" t="s">
        <v>6</v>
      </c>
      <c r="C90" s="199" t="s">
        <v>7</v>
      </c>
      <c r="D90" s="192"/>
      <c r="E90" s="192"/>
      <c r="F90" s="192"/>
    </row>
    <row r="91" spans="1:6" s="193" customFormat="1" ht="75">
      <c r="A91" s="501">
        <v>902</v>
      </c>
      <c r="B91" s="501" t="s">
        <v>8</v>
      </c>
      <c r="C91" s="199" t="s">
        <v>886</v>
      </c>
      <c r="D91" s="192"/>
      <c r="E91" s="192"/>
      <c r="F91" s="192"/>
    </row>
    <row r="92" spans="1:6" s="193" customFormat="1" ht="58.9" customHeight="1">
      <c r="A92" s="202">
        <v>902</v>
      </c>
      <c r="B92" s="501" t="s">
        <v>9</v>
      </c>
      <c r="C92" s="199" t="s">
        <v>871</v>
      </c>
      <c r="D92" s="192"/>
      <c r="E92" s="192"/>
      <c r="F92" s="192"/>
    </row>
    <row r="93" spans="1:6" s="193" customFormat="1" ht="61.15" customHeight="1">
      <c r="A93" s="202">
        <v>902</v>
      </c>
      <c r="B93" s="501" t="s">
        <v>418</v>
      </c>
      <c r="C93" s="199" t="s">
        <v>417</v>
      </c>
      <c r="D93" s="192"/>
      <c r="E93" s="192"/>
      <c r="F93" s="192"/>
    </row>
    <row r="94" spans="1:6" s="193" customFormat="1" ht="72" customHeight="1">
      <c r="A94" s="202">
        <v>902</v>
      </c>
      <c r="B94" s="501" t="s">
        <v>419</v>
      </c>
      <c r="C94" s="199" t="s">
        <v>420</v>
      </c>
      <c r="D94" s="192"/>
      <c r="E94" s="192"/>
      <c r="F94" s="192"/>
    </row>
    <row r="95" spans="1:6" ht="51.75" customHeight="1">
      <c r="A95" s="493">
        <v>905</v>
      </c>
      <c r="B95" s="501"/>
      <c r="C95" s="204" t="s">
        <v>10</v>
      </c>
    </row>
    <row r="96" spans="1:6" ht="39.75" customHeight="1">
      <c r="A96" s="501">
        <v>905</v>
      </c>
      <c r="B96" s="501" t="s">
        <v>617</v>
      </c>
      <c r="C96" s="199" t="s">
        <v>30</v>
      </c>
      <c r="D96" s="245"/>
      <c r="E96" s="245"/>
      <c r="F96" s="245"/>
    </row>
    <row r="97" spans="1:6" ht="40.5" customHeight="1">
      <c r="A97" s="501">
        <v>905</v>
      </c>
      <c r="B97" s="501" t="s">
        <v>618</v>
      </c>
      <c r="C97" s="199" t="s">
        <v>619</v>
      </c>
      <c r="D97" s="245"/>
      <c r="E97" s="245"/>
      <c r="F97" s="245"/>
    </row>
    <row r="98" spans="1:6" s="577" customFormat="1" ht="112.5">
      <c r="A98" s="501">
        <v>905</v>
      </c>
      <c r="B98" s="501" t="s">
        <v>734</v>
      </c>
      <c r="C98" s="199" t="s">
        <v>864</v>
      </c>
      <c r="D98" s="576"/>
      <c r="E98" s="576"/>
      <c r="F98" s="576"/>
    </row>
    <row r="99" spans="1:6" ht="150" customHeight="1">
      <c r="A99" s="501">
        <v>905</v>
      </c>
      <c r="B99" s="501" t="s">
        <v>645</v>
      </c>
      <c r="C99" s="199" t="s">
        <v>873</v>
      </c>
      <c r="D99" s="245"/>
      <c r="E99" s="245"/>
      <c r="F99" s="245"/>
    </row>
    <row r="100" spans="1:6" ht="277.14999999999998" customHeight="1">
      <c r="A100" s="501">
        <v>905</v>
      </c>
      <c r="B100" s="202" t="s">
        <v>646</v>
      </c>
      <c r="C100" s="199" t="s">
        <v>874</v>
      </c>
      <c r="D100" s="245"/>
      <c r="E100" s="245"/>
      <c r="F100" s="245"/>
    </row>
    <row r="101" spans="1:6" ht="98.45" customHeight="1">
      <c r="A101" s="501">
        <v>905</v>
      </c>
      <c r="B101" s="501" t="s">
        <v>647</v>
      </c>
      <c r="C101" s="199" t="s">
        <v>875</v>
      </c>
      <c r="D101" s="245"/>
      <c r="E101" s="245"/>
      <c r="F101" s="245"/>
    </row>
    <row r="102" spans="1:6" s="193" customFormat="1" ht="62.25" customHeight="1">
      <c r="A102" s="202">
        <v>905</v>
      </c>
      <c r="B102" s="202" t="s">
        <v>626</v>
      </c>
      <c r="C102" s="199" t="s">
        <v>627</v>
      </c>
      <c r="D102" s="192"/>
      <c r="E102" s="192"/>
      <c r="F102" s="192"/>
    </row>
    <row r="103" spans="1:6" s="193" customFormat="1" ht="35.25" customHeight="1">
      <c r="A103" s="202">
        <v>905</v>
      </c>
      <c r="B103" s="202" t="s">
        <v>637</v>
      </c>
      <c r="C103" s="199" t="s">
        <v>2</v>
      </c>
      <c r="D103" s="192"/>
      <c r="E103" s="192"/>
      <c r="F103" s="192"/>
    </row>
    <row r="104" spans="1:6" ht="57" customHeight="1">
      <c r="A104" s="501">
        <v>905</v>
      </c>
      <c r="B104" s="501" t="s">
        <v>545</v>
      </c>
      <c r="C104" s="199" t="s">
        <v>683</v>
      </c>
    </row>
    <row r="105" spans="1:6" ht="58.5" customHeight="1">
      <c r="A105" s="501">
        <v>905</v>
      </c>
      <c r="B105" s="501" t="s">
        <v>546</v>
      </c>
      <c r="C105" s="199" t="s">
        <v>11</v>
      </c>
    </row>
    <row r="106" spans="1:6" ht="32.25" customHeight="1">
      <c r="A106" s="501">
        <v>905</v>
      </c>
      <c r="B106" s="501" t="s">
        <v>542</v>
      </c>
      <c r="C106" s="199" t="s">
        <v>4</v>
      </c>
    </row>
    <row r="107" spans="1:6" ht="99.75" customHeight="1">
      <c r="A107" s="501">
        <v>905</v>
      </c>
      <c r="B107" s="501" t="s">
        <v>547</v>
      </c>
      <c r="C107" s="199" t="s">
        <v>16</v>
      </c>
    </row>
    <row r="108" spans="1:6" ht="48" customHeight="1">
      <c r="A108" s="501">
        <v>905</v>
      </c>
      <c r="B108" s="501" t="s">
        <v>550</v>
      </c>
      <c r="C108" s="199" t="s">
        <v>21</v>
      </c>
    </row>
    <row r="109" spans="1:6" ht="136.9" customHeight="1">
      <c r="A109" s="501">
        <v>905</v>
      </c>
      <c r="B109" s="501" t="s">
        <v>566</v>
      </c>
      <c r="C109" s="231" t="s">
        <v>491</v>
      </c>
    </row>
    <row r="110" spans="1:6" ht="77.25" customHeight="1">
      <c r="A110" s="202">
        <v>905</v>
      </c>
      <c r="B110" s="501" t="s">
        <v>564</v>
      </c>
      <c r="C110" s="199" t="s">
        <v>457</v>
      </c>
    </row>
    <row r="111" spans="1:6" ht="42.75" customHeight="1">
      <c r="A111" s="501">
        <v>905</v>
      </c>
      <c r="B111" s="501" t="s">
        <v>12</v>
      </c>
      <c r="C111" s="199" t="s">
        <v>13</v>
      </c>
    </row>
    <row r="112" spans="1:6" ht="41.25" customHeight="1">
      <c r="A112" s="501">
        <v>905</v>
      </c>
      <c r="B112" s="501" t="s">
        <v>14</v>
      </c>
      <c r="C112" s="199" t="s">
        <v>15</v>
      </c>
    </row>
    <row r="113" spans="1:6" ht="37.5">
      <c r="A113" s="493">
        <v>910</v>
      </c>
      <c r="B113" s="501"/>
      <c r="C113" s="204" t="s">
        <v>55</v>
      </c>
    </row>
    <row r="114" spans="1:6" ht="42.75" customHeight="1">
      <c r="A114" s="202">
        <v>910</v>
      </c>
      <c r="B114" s="202" t="s">
        <v>618</v>
      </c>
      <c r="C114" s="199" t="s">
        <v>619</v>
      </c>
    </row>
    <row r="115" spans="1:6" ht="112.5">
      <c r="A115" s="202">
        <v>910</v>
      </c>
      <c r="B115" s="202" t="s">
        <v>648</v>
      </c>
      <c r="C115" s="199" t="s">
        <v>876</v>
      </c>
    </row>
    <row r="116" spans="1:6" s="577" customFormat="1" ht="96" customHeight="1">
      <c r="A116" s="501">
        <v>910</v>
      </c>
      <c r="B116" s="501" t="s">
        <v>734</v>
      </c>
      <c r="C116" s="199" t="s">
        <v>864</v>
      </c>
      <c r="D116" s="576"/>
      <c r="E116" s="576"/>
      <c r="F116" s="576"/>
    </row>
    <row r="117" spans="1:6" ht="170.25" customHeight="1">
      <c r="A117" s="202">
        <v>910</v>
      </c>
      <c r="B117" s="202" t="s">
        <v>645</v>
      </c>
      <c r="C117" s="199" t="s">
        <v>873</v>
      </c>
    </row>
    <row r="118" spans="1:6" ht="288" customHeight="1">
      <c r="A118" s="501">
        <v>910</v>
      </c>
      <c r="B118" s="202" t="s">
        <v>646</v>
      </c>
      <c r="C118" s="199" t="s">
        <v>874</v>
      </c>
      <c r="D118" s="245"/>
      <c r="E118" s="245"/>
      <c r="F118" s="245"/>
    </row>
    <row r="119" spans="1:6" s="193" customFormat="1" ht="115.5" customHeight="1">
      <c r="A119" s="202">
        <v>910</v>
      </c>
      <c r="B119" s="202" t="s">
        <v>647</v>
      </c>
      <c r="C119" s="199" t="s">
        <v>875</v>
      </c>
      <c r="D119" s="192"/>
      <c r="E119" s="192"/>
      <c r="F119" s="192"/>
    </row>
    <row r="120" spans="1:6" s="193" customFormat="1" ht="78.75" customHeight="1">
      <c r="A120" s="202">
        <v>910</v>
      </c>
      <c r="B120" s="202" t="s">
        <v>724</v>
      </c>
      <c r="C120" s="199" t="s">
        <v>725</v>
      </c>
      <c r="D120" s="192"/>
      <c r="E120" s="192"/>
      <c r="F120" s="192"/>
    </row>
    <row r="121" spans="1:6" s="193" customFormat="1" ht="42.75" customHeight="1">
      <c r="A121" s="501">
        <v>910</v>
      </c>
      <c r="B121" s="202" t="s">
        <v>637</v>
      </c>
      <c r="C121" s="199" t="s">
        <v>2</v>
      </c>
      <c r="D121" s="192"/>
      <c r="E121" s="192"/>
      <c r="F121" s="192"/>
    </row>
    <row r="122" spans="1:6" ht="96" customHeight="1">
      <c r="A122" s="501">
        <v>910</v>
      </c>
      <c r="B122" s="501" t="s">
        <v>547</v>
      </c>
      <c r="C122" s="199" t="s">
        <v>16</v>
      </c>
    </row>
    <row r="123" spans="1:6" ht="74.25" customHeight="1">
      <c r="A123" s="501">
        <v>910</v>
      </c>
      <c r="B123" s="501" t="s">
        <v>564</v>
      </c>
      <c r="C123" s="199" t="s">
        <v>457</v>
      </c>
    </row>
    <row r="124" spans="1:6" ht="56.25">
      <c r="A124" s="492">
        <v>921</v>
      </c>
      <c r="B124" s="202"/>
      <c r="C124" s="204" t="s">
        <v>17</v>
      </c>
    </row>
    <row r="125" spans="1:6" s="193" customFormat="1" ht="75">
      <c r="A125" s="501">
        <v>921</v>
      </c>
      <c r="B125" s="501" t="s">
        <v>170</v>
      </c>
      <c r="C125" s="199" t="s">
        <v>649</v>
      </c>
      <c r="D125" s="192"/>
      <c r="E125" s="192"/>
      <c r="F125" s="192"/>
    </row>
    <row r="126" spans="1:6" s="193" customFormat="1" ht="78" customHeight="1">
      <c r="A126" s="501">
        <v>921</v>
      </c>
      <c r="B126" s="501" t="s">
        <v>650</v>
      </c>
      <c r="C126" s="199" t="s">
        <v>651</v>
      </c>
      <c r="D126" s="192"/>
      <c r="E126" s="192"/>
      <c r="F126" s="192"/>
    </row>
    <row r="127" spans="1:6" s="193" customFormat="1" ht="133.5" customHeight="1">
      <c r="A127" s="501">
        <v>921</v>
      </c>
      <c r="B127" s="202" t="s">
        <v>652</v>
      </c>
      <c r="C127" s="199" t="s">
        <v>887</v>
      </c>
      <c r="D127" s="192"/>
      <c r="E127" s="192"/>
      <c r="F127" s="192"/>
    </row>
    <row r="128" spans="1:6" s="193" customFormat="1" ht="60.75" customHeight="1">
      <c r="A128" s="501">
        <v>921</v>
      </c>
      <c r="B128" s="501" t="s">
        <v>362</v>
      </c>
      <c r="C128" s="199" t="s">
        <v>18</v>
      </c>
      <c r="D128" s="192"/>
      <c r="E128" s="192"/>
      <c r="F128" s="192"/>
    </row>
    <row r="129" spans="1:6" s="193" customFormat="1" ht="78.75" customHeight="1">
      <c r="A129" s="501">
        <v>921</v>
      </c>
      <c r="B129" s="501" t="s">
        <v>172</v>
      </c>
      <c r="C129" s="199" t="s">
        <v>653</v>
      </c>
      <c r="D129" s="192"/>
      <c r="E129" s="192"/>
      <c r="F129" s="192"/>
    </row>
    <row r="130" spans="1:6" s="193" customFormat="1" ht="118.5" customHeight="1">
      <c r="A130" s="501">
        <v>921</v>
      </c>
      <c r="B130" s="501" t="s">
        <v>421</v>
      </c>
      <c r="C130" s="199" t="s">
        <v>422</v>
      </c>
      <c r="D130" s="192"/>
      <c r="E130" s="192"/>
      <c r="F130" s="192"/>
    </row>
    <row r="131" spans="1:6" s="193" customFormat="1" ht="56.25" customHeight="1">
      <c r="A131" s="501">
        <v>921</v>
      </c>
      <c r="B131" s="501" t="s">
        <v>617</v>
      </c>
      <c r="C131" s="199" t="s">
        <v>30</v>
      </c>
      <c r="D131" s="192"/>
      <c r="E131" s="192"/>
      <c r="F131" s="192"/>
    </row>
    <row r="132" spans="1:6" s="193" customFormat="1" ht="56.25">
      <c r="A132" s="501">
        <v>921</v>
      </c>
      <c r="B132" s="501" t="s">
        <v>654</v>
      </c>
      <c r="C132" s="199" t="s">
        <v>515</v>
      </c>
      <c r="D132" s="192"/>
      <c r="E132" s="192"/>
      <c r="F132" s="192"/>
    </row>
    <row r="133" spans="1:6" s="193" customFormat="1" ht="42" customHeight="1">
      <c r="A133" s="501">
        <v>921</v>
      </c>
      <c r="B133" s="501" t="s">
        <v>618</v>
      </c>
      <c r="C133" s="199" t="s">
        <v>619</v>
      </c>
      <c r="D133" s="192"/>
      <c r="E133" s="192"/>
      <c r="F133" s="192"/>
    </row>
    <row r="134" spans="1:6" s="193" customFormat="1" ht="135.75" customHeight="1">
      <c r="A134" s="501">
        <v>921</v>
      </c>
      <c r="B134" s="501" t="s">
        <v>655</v>
      </c>
      <c r="C134" s="199" t="s">
        <v>656</v>
      </c>
      <c r="D134" s="192"/>
      <c r="E134" s="192"/>
      <c r="F134" s="192"/>
    </row>
    <row r="135" spans="1:6" s="193" customFormat="1" ht="135" customHeight="1">
      <c r="A135" s="501">
        <v>921</v>
      </c>
      <c r="B135" s="501" t="s">
        <v>657</v>
      </c>
      <c r="C135" s="199" t="s">
        <v>658</v>
      </c>
      <c r="D135" s="192"/>
      <c r="E135" s="192"/>
      <c r="F135" s="192"/>
    </row>
    <row r="136" spans="1:6" s="193" customFormat="1" ht="110.25" customHeight="1">
      <c r="A136" s="501">
        <v>921</v>
      </c>
      <c r="B136" s="501" t="s">
        <v>659</v>
      </c>
      <c r="C136" s="199" t="s">
        <v>660</v>
      </c>
      <c r="D136" s="192"/>
      <c r="E136" s="192"/>
      <c r="F136" s="192"/>
    </row>
    <row r="137" spans="1:6" s="193" customFormat="1" ht="129" customHeight="1">
      <c r="A137" s="501">
        <v>921</v>
      </c>
      <c r="B137" s="501" t="s">
        <v>661</v>
      </c>
      <c r="C137" s="199" t="s">
        <v>662</v>
      </c>
      <c r="D137" s="192"/>
      <c r="E137" s="192"/>
      <c r="F137" s="192"/>
    </row>
    <row r="138" spans="1:6" s="193" customFormat="1" ht="92.25" customHeight="1">
      <c r="A138" s="501">
        <v>921</v>
      </c>
      <c r="B138" s="202" t="s">
        <v>663</v>
      </c>
      <c r="C138" s="199" t="s">
        <v>664</v>
      </c>
      <c r="D138" s="192"/>
      <c r="E138" s="192"/>
      <c r="F138" s="192"/>
    </row>
    <row r="139" spans="1:6" s="193" customFormat="1" ht="78.75" customHeight="1">
      <c r="A139" s="501">
        <v>921</v>
      </c>
      <c r="B139" s="202" t="s">
        <v>665</v>
      </c>
      <c r="C139" s="199" t="s">
        <v>666</v>
      </c>
      <c r="D139" s="192"/>
      <c r="E139" s="192"/>
      <c r="F139" s="192"/>
    </row>
    <row r="140" spans="1:6" s="193" customFormat="1" ht="130.5" customHeight="1">
      <c r="A140" s="501">
        <v>921</v>
      </c>
      <c r="B140" s="202" t="s">
        <v>667</v>
      </c>
      <c r="C140" s="199" t="s">
        <v>668</v>
      </c>
      <c r="D140" s="192"/>
      <c r="E140" s="192"/>
      <c r="F140" s="192"/>
    </row>
    <row r="141" spans="1:6" s="193" customFormat="1" ht="72.75" customHeight="1">
      <c r="A141" s="501">
        <v>921</v>
      </c>
      <c r="B141" s="202" t="s">
        <v>669</v>
      </c>
      <c r="C141" s="199" t="s">
        <v>670</v>
      </c>
      <c r="D141" s="192"/>
      <c r="E141" s="192"/>
      <c r="F141" s="192"/>
    </row>
    <row r="142" spans="1:6" s="577" customFormat="1" ht="111.75" customHeight="1">
      <c r="A142" s="501">
        <v>921</v>
      </c>
      <c r="B142" s="501" t="s">
        <v>734</v>
      </c>
      <c r="C142" s="230" t="s">
        <v>864</v>
      </c>
      <c r="D142" s="576"/>
      <c r="E142" s="576"/>
      <c r="F142" s="576"/>
    </row>
    <row r="143" spans="1:6" s="193" customFormat="1" ht="111" customHeight="1">
      <c r="A143" s="202">
        <v>921</v>
      </c>
      <c r="B143" s="202" t="s">
        <v>622</v>
      </c>
      <c r="C143" s="199" t="s">
        <v>671</v>
      </c>
      <c r="D143" s="192"/>
      <c r="E143" s="192"/>
      <c r="F143" s="192"/>
    </row>
    <row r="144" spans="1:6" s="193" customFormat="1" ht="58.5" customHeight="1">
      <c r="A144" s="202">
        <v>921</v>
      </c>
      <c r="B144" s="202" t="s">
        <v>626</v>
      </c>
      <c r="C144" s="199" t="s">
        <v>627</v>
      </c>
      <c r="D144" s="192"/>
      <c r="E144" s="192"/>
      <c r="F144" s="192"/>
    </row>
    <row r="145" spans="1:6" s="193" customFormat="1" ht="93" customHeight="1">
      <c r="A145" s="202">
        <v>921</v>
      </c>
      <c r="B145" s="202" t="s">
        <v>672</v>
      </c>
      <c r="C145" s="199" t="s">
        <v>673</v>
      </c>
      <c r="D145" s="192"/>
      <c r="E145" s="192"/>
      <c r="F145" s="192"/>
    </row>
    <row r="146" spans="1:6" s="193" customFormat="1" ht="42.75" customHeight="1">
      <c r="A146" s="202">
        <v>921</v>
      </c>
      <c r="B146" s="202" t="s">
        <v>637</v>
      </c>
      <c r="C146" s="199" t="s">
        <v>2</v>
      </c>
      <c r="D146" s="192"/>
      <c r="E146" s="192"/>
      <c r="F146" s="192"/>
    </row>
    <row r="147" spans="1:6" s="193" customFormat="1" ht="37.5">
      <c r="A147" s="501">
        <v>921</v>
      </c>
      <c r="B147" s="501" t="s">
        <v>638</v>
      </c>
      <c r="C147" s="244" t="s">
        <v>529</v>
      </c>
      <c r="D147" s="192"/>
      <c r="E147" s="192"/>
      <c r="F147" s="192"/>
    </row>
    <row r="148" spans="1:6" s="193" customFormat="1" ht="56.25">
      <c r="A148" s="202">
        <v>921</v>
      </c>
      <c r="B148" s="501" t="s">
        <v>674</v>
      </c>
      <c r="C148" s="199" t="s">
        <v>675</v>
      </c>
      <c r="D148" s="247"/>
      <c r="E148" s="192"/>
      <c r="F148" s="246"/>
    </row>
    <row r="149" spans="1:6" s="249" customFormat="1" ht="56.25">
      <c r="A149" s="506">
        <v>921</v>
      </c>
      <c r="B149" s="503" t="s">
        <v>597</v>
      </c>
      <c r="C149" s="248" t="s">
        <v>598</v>
      </c>
    </row>
    <row r="150" spans="1:6" ht="27.75" customHeight="1">
      <c r="A150" s="202">
        <v>921</v>
      </c>
      <c r="B150" s="501" t="s">
        <v>542</v>
      </c>
      <c r="C150" s="199" t="s">
        <v>4</v>
      </c>
    </row>
    <row r="151" spans="1:6" ht="56.25">
      <c r="A151" s="202">
        <v>921</v>
      </c>
      <c r="B151" s="501" t="s">
        <v>543</v>
      </c>
      <c r="C151" s="199" t="s">
        <v>5</v>
      </c>
    </row>
    <row r="152" spans="1:6" ht="93.75">
      <c r="A152" s="202">
        <v>921</v>
      </c>
      <c r="B152" s="501" t="s">
        <v>548</v>
      </c>
      <c r="C152" s="199" t="s">
        <v>19</v>
      </c>
    </row>
    <row r="153" spans="1:6" ht="34.5" customHeight="1">
      <c r="A153" s="202">
        <v>921</v>
      </c>
      <c r="B153" s="501" t="s">
        <v>549</v>
      </c>
      <c r="C153" s="199" t="s">
        <v>20</v>
      </c>
    </row>
    <row r="154" spans="1:6" ht="37.5">
      <c r="A154" s="202">
        <v>921</v>
      </c>
      <c r="B154" s="202" t="s">
        <v>550</v>
      </c>
      <c r="C154" s="199" t="s">
        <v>21</v>
      </c>
    </row>
    <row r="155" spans="1:6" ht="75">
      <c r="A155" s="202">
        <v>921</v>
      </c>
      <c r="B155" s="501" t="s">
        <v>564</v>
      </c>
      <c r="C155" s="199" t="s">
        <v>457</v>
      </c>
    </row>
    <row r="156" spans="1:6" ht="44.25" customHeight="1">
      <c r="A156" s="492">
        <v>925</v>
      </c>
      <c r="B156" s="202"/>
      <c r="C156" s="204" t="s">
        <v>23</v>
      </c>
    </row>
    <row r="157" spans="1:6" s="193" customFormat="1" ht="111" customHeight="1">
      <c r="A157" s="501">
        <v>925</v>
      </c>
      <c r="B157" s="501" t="s">
        <v>676</v>
      </c>
      <c r="C157" s="199" t="s">
        <v>677</v>
      </c>
      <c r="D157" s="192"/>
      <c r="E157" s="192"/>
      <c r="F157" s="192"/>
    </row>
    <row r="158" spans="1:6" s="193" customFormat="1" ht="56.25">
      <c r="A158" s="501">
        <v>925</v>
      </c>
      <c r="B158" s="501" t="s">
        <v>654</v>
      </c>
      <c r="C158" s="199" t="s">
        <v>515</v>
      </c>
      <c r="D158" s="192"/>
      <c r="E158" s="192"/>
      <c r="F158" s="192"/>
    </row>
    <row r="159" spans="1:6" s="193" customFormat="1" ht="40.5" customHeight="1">
      <c r="A159" s="501">
        <v>925</v>
      </c>
      <c r="B159" s="501" t="s">
        <v>618</v>
      </c>
      <c r="C159" s="199" t="s">
        <v>619</v>
      </c>
      <c r="D159" s="192"/>
      <c r="E159" s="192"/>
      <c r="F159" s="192"/>
    </row>
    <row r="160" spans="1:6" s="193" customFormat="1" ht="111.75" customHeight="1">
      <c r="A160" s="501">
        <v>925</v>
      </c>
      <c r="B160" s="501" t="s">
        <v>659</v>
      </c>
      <c r="C160" s="199" t="s">
        <v>660</v>
      </c>
      <c r="D160" s="192"/>
      <c r="E160" s="192"/>
      <c r="F160" s="192"/>
    </row>
    <row r="161" spans="1:6" s="577" customFormat="1" ht="110.25" customHeight="1">
      <c r="A161" s="501">
        <v>925</v>
      </c>
      <c r="B161" s="501" t="s">
        <v>734</v>
      </c>
      <c r="C161" s="199" t="s">
        <v>864</v>
      </c>
      <c r="D161" s="576"/>
      <c r="E161" s="576"/>
      <c r="F161" s="576"/>
    </row>
    <row r="162" spans="1:6" s="193" customFormat="1" ht="112.5">
      <c r="A162" s="501">
        <v>925</v>
      </c>
      <c r="B162" s="501" t="s">
        <v>620</v>
      </c>
      <c r="C162" s="199" t="s">
        <v>621</v>
      </c>
      <c r="D162" s="192"/>
      <c r="E162" s="192"/>
      <c r="F162" s="192"/>
    </row>
    <row r="163" spans="1:6" s="193" customFormat="1" ht="112.5">
      <c r="A163" s="202">
        <v>925</v>
      </c>
      <c r="B163" s="202" t="s">
        <v>622</v>
      </c>
      <c r="C163" s="199" t="s">
        <v>623</v>
      </c>
      <c r="D163" s="192"/>
      <c r="E163" s="192"/>
      <c r="F163" s="192"/>
    </row>
    <row r="164" spans="1:6" s="193" customFormat="1" ht="60.75" customHeight="1">
      <c r="A164" s="202">
        <v>925</v>
      </c>
      <c r="B164" s="202" t="s">
        <v>626</v>
      </c>
      <c r="C164" s="199" t="s">
        <v>627</v>
      </c>
      <c r="D164" s="192"/>
      <c r="E164" s="192"/>
      <c r="F164" s="192"/>
    </row>
    <row r="165" spans="1:6" s="193" customFormat="1" ht="37.5">
      <c r="A165" s="202">
        <v>925</v>
      </c>
      <c r="B165" s="202" t="s">
        <v>637</v>
      </c>
      <c r="C165" s="199" t="s">
        <v>2</v>
      </c>
      <c r="D165" s="192"/>
      <c r="E165" s="192"/>
      <c r="F165" s="192"/>
    </row>
    <row r="166" spans="1:6" s="193" customFormat="1" ht="37.5">
      <c r="A166" s="501">
        <v>925</v>
      </c>
      <c r="B166" s="501" t="s">
        <v>638</v>
      </c>
      <c r="C166" s="244" t="s">
        <v>529</v>
      </c>
      <c r="D166" s="192"/>
      <c r="E166" s="192"/>
      <c r="F166" s="192"/>
    </row>
    <row r="167" spans="1:6" ht="133.5" customHeight="1">
      <c r="A167" s="202">
        <v>925</v>
      </c>
      <c r="B167" s="501" t="s">
        <v>596</v>
      </c>
      <c r="C167" s="231" t="s">
        <v>769</v>
      </c>
    </row>
    <row r="168" spans="1:6" ht="98.25" customHeight="1">
      <c r="A168" s="202">
        <v>925</v>
      </c>
      <c r="B168" s="501" t="s">
        <v>763</v>
      </c>
      <c r="C168" s="199" t="s">
        <v>764</v>
      </c>
    </row>
    <row r="169" spans="1:6" ht="23.25" customHeight="1">
      <c r="A169" s="202">
        <v>925</v>
      </c>
      <c r="B169" s="501" t="s">
        <v>542</v>
      </c>
      <c r="C169" s="199" t="s">
        <v>4</v>
      </c>
    </row>
    <row r="170" spans="1:6" ht="56.25">
      <c r="A170" s="202">
        <v>925</v>
      </c>
      <c r="B170" s="501" t="s">
        <v>543</v>
      </c>
      <c r="C170" s="199" t="s">
        <v>5</v>
      </c>
    </row>
    <row r="171" spans="1:6" ht="111.75" customHeight="1">
      <c r="A171" s="202">
        <v>925</v>
      </c>
      <c r="B171" s="501" t="s">
        <v>551</v>
      </c>
      <c r="C171" s="199" t="s">
        <v>24</v>
      </c>
    </row>
    <row r="172" spans="1:6" ht="99.75" customHeight="1">
      <c r="A172" s="202">
        <v>925</v>
      </c>
      <c r="B172" s="501" t="s">
        <v>762</v>
      </c>
      <c r="C172" s="199" t="s">
        <v>798</v>
      </c>
    </row>
    <row r="173" spans="1:6" ht="45" customHeight="1">
      <c r="A173" s="202">
        <v>925</v>
      </c>
      <c r="B173" s="202" t="s">
        <v>550</v>
      </c>
      <c r="C173" s="199" t="s">
        <v>21</v>
      </c>
    </row>
    <row r="174" spans="1:6" ht="57" customHeight="1">
      <c r="A174" s="202">
        <v>925</v>
      </c>
      <c r="B174" s="501" t="s">
        <v>641</v>
      </c>
      <c r="C174" s="199" t="s">
        <v>642</v>
      </c>
    </row>
    <row r="175" spans="1:6" ht="58.5" customHeight="1">
      <c r="A175" s="202">
        <v>925</v>
      </c>
      <c r="B175" s="501" t="s">
        <v>563</v>
      </c>
      <c r="C175" s="199" t="s">
        <v>22</v>
      </c>
    </row>
    <row r="176" spans="1:6" ht="75.75" customHeight="1">
      <c r="A176" s="202">
        <v>925</v>
      </c>
      <c r="B176" s="501" t="s">
        <v>877</v>
      </c>
      <c r="C176" s="199" t="s">
        <v>878</v>
      </c>
    </row>
    <row r="177" spans="1:6" ht="93.75">
      <c r="A177" s="202">
        <v>925</v>
      </c>
      <c r="B177" s="501" t="s">
        <v>993</v>
      </c>
      <c r="C177" s="199" t="s">
        <v>995</v>
      </c>
    </row>
    <row r="178" spans="1:6" ht="112.5">
      <c r="A178" s="202">
        <v>925</v>
      </c>
      <c r="B178" s="501" t="s">
        <v>994</v>
      </c>
      <c r="C178" s="199" t="s">
        <v>996</v>
      </c>
    </row>
    <row r="179" spans="1:6" ht="81" customHeight="1">
      <c r="A179" s="202">
        <v>925</v>
      </c>
      <c r="B179" s="501" t="s">
        <v>564</v>
      </c>
      <c r="C179" s="199" t="s">
        <v>457</v>
      </c>
    </row>
    <row r="180" spans="1:6" ht="56.25">
      <c r="A180" s="492">
        <v>926</v>
      </c>
      <c r="B180" s="202"/>
      <c r="C180" s="204" t="s">
        <v>25</v>
      </c>
    </row>
    <row r="181" spans="1:6" ht="100.5" customHeight="1">
      <c r="A181" s="501">
        <v>926</v>
      </c>
      <c r="B181" s="501" t="s">
        <v>676</v>
      </c>
      <c r="C181" s="199" t="s">
        <v>677</v>
      </c>
    </row>
    <row r="182" spans="1:6" ht="40.5" customHeight="1">
      <c r="A182" s="501">
        <v>926</v>
      </c>
      <c r="B182" s="501" t="s">
        <v>617</v>
      </c>
      <c r="C182" s="199" t="s">
        <v>30</v>
      </c>
    </row>
    <row r="183" spans="1:6" s="193" customFormat="1" ht="45.75" customHeight="1">
      <c r="A183" s="501">
        <v>926</v>
      </c>
      <c r="B183" s="501" t="s">
        <v>618</v>
      </c>
      <c r="C183" s="199" t="s">
        <v>619</v>
      </c>
      <c r="D183" s="192"/>
      <c r="E183" s="192"/>
      <c r="F183" s="192"/>
    </row>
    <row r="184" spans="1:6" s="577" customFormat="1" ht="111" customHeight="1">
      <c r="A184" s="501">
        <v>926</v>
      </c>
      <c r="B184" s="501" t="s">
        <v>734</v>
      </c>
      <c r="C184" s="199" t="s">
        <v>864</v>
      </c>
      <c r="D184" s="576"/>
      <c r="E184" s="576"/>
      <c r="F184" s="576"/>
    </row>
    <row r="185" spans="1:6" s="193" customFormat="1" ht="109.5" customHeight="1">
      <c r="A185" s="202">
        <v>926</v>
      </c>
      <c r="B185" s="202" t="s">
        <v>622</v>
      </c>
      <c r="C185" s="199" t="s">
        <v>671</v>
      </c>
      <c r="D185" s="192"/>
      <c r="E185" s="192"/>
      <c r="F185" s="192"/>
    </row>
    <row r="186" spans="1:6" s="193" customFormat="1" ht="63" customHeight="1">
      <c r="A186" s="202">
        <v>926</v>
      </c>
      <c r="B186" s="202" t="s">
        <v>626</v>
      </c>
      <c r="C186" s="199" t="s">
        <v>627</v>
      </c>
      <c r="D186" s="192"/>
      <c r="E186" s="192"/>
      <c r="F186" s="192"/>
    </row>
    <row r="187" spans="1:6" s="193" customFormat="1" ht="37.5">
      <c r="A187" s="202">
        <v>926</v>
      </c>
      <c r="B187" s="202" t="s">
        <v>637</v>
      </c>
      <c r="C187" s="199" t="s">
        <v>2</v>
      </c>
      <c r="D187" s="192"/>
      <c r="E187" s="192"/>
      <c r="F187" s="192"/>
    </row>
    <row r="188" spans="1:6" ht="37.5">
      <c r="A188" s="202">
        <v>926</v>
      </c>
      <c r="B188" s="501" t="s">
        <v>542</v>
      </c>
      <c r="C188" s="199" t="s">
        <v>4</v>
      </c>
    </row>
    <row r="189" spans="1:6" ht="96" customHeight="1">
      <c r="A189" s="202">
        <v>926</v>
      </c>
      <c r="B189" s="501" t="s">
        <v>547</v>
      </c>
      <c r="C189" s="199" t="s">
        <v>16</v>
      </c>
    </row>
    <row r="190" spans="1:6" ht="37.5">
      <c r="A190" s="202">
        <v>926</v>
      </c>
      <c r="B190" s="501" t="s">
        <v>550</v>
      </c>
      <c r="C190" s="199" t="s">
        <v>21</v>
      </c>
    </row>
    <row r="191" spans="1:6" ht="56.25">
      <c r="A191" s="202">
        <v>926</v>
      </c>
      <c r="B191" s="501" t="s">
        <v>641</v>
      </c>
      <c r="C191" s="199" t="s">
        <v>642</v>
      </c>
    </row>
    <row r="192" spans="1:6" ht="56.25">
      <c r="A192" s="202">
        <v>926</v>
      </c>
      <c r="B192" s="501" t="s">
        <v>563</v>
      </c>
      <c r="C192" s="199" t="s">
        <v>22</v>
      </c>
    </row>
    <row r="193" spans="1:6" ht="58.5" customHeight="1">
      <c r="A193" s="197">
        <v>926</v>
      </c>
      <c r="B193" s="200" t="s">
        <v>880</v>
      </c>
      <c r="C193" s="199" t="s">
        <v>879</v>
      </c>
    </row>
    <row r="194" spans="1:6" ht="79.5" customHeight="1">
      <c r="A194" s="202">
        <v>926</v>
      </c>
      <c r="B194" s="501" t="s">
        <v>564</v>
      </c>
      <c r="C194" s="199" t="s">
        <v>457</v>
      </c>
    </row>
    <row r="195" spans="1:6" ht="59.25" customHeight="1">
      <c r="A195" s="492">
        <v>929</v>
      </c>
      <c r="B195" s="501"/>
      <c r="C195" s="204" t="s">
        <v>26</v>
      </c>
    </row>
    <row r="196" spans="1:6" ht="37.5">
      <c r="A196" s="202">
        <v>929</v>
      </c>
      <c r="B196" s="202" t="s">
        <v>618</v>
      </c>
      <c r="C196" s="199" t="s">
        <v>619</v>
      </c>
    </row>
    <row r="197" spans="1:6" ht="134.25" customHeight="1">
      <c r="A197" s="501">
        <v>929</v>
      </c>
      <c r="B197" s="501" t="s">
        <v>659</v>
      </c>
      <c r="C197" s="199" t="s">
        <v>660</v>
      </c>
      <c r="D197" s="245"/>
      <c r="E197" s="245"/>
      <c r="F197" s="245"/>
    </row>
    <row r="198" spans="1:6" s="577" customFormat="1" ht="116.25" customHeight="1">
      <c r="A198" s="501">
        <v>929</v>
      </c>
      <c r="B198" s="501" t="s">
        <v>734</v>
      </c>
      <c r="C198" s="199" t="s">
        <v>864</v>
      </c>
      <c r="D198" s="576"/>
      <c r="E198" s="576"/>
      <c r="F198" s="576"/>
    </row>
    <row r="199" spans="1:6" s="577" customFormat="1" ht="111" customHeight="1">
      <c r="A199" s="501">
        <v>929</v>
      </c>
      <c r="B199" s="501" t="s">
        <v>620</v>
      </c>
      <c r="C199" s="199" t="s">
        <v>621</v>
      </c>
      <c r="D199" s="576"/>
      <c r="E199" s="576"/>
      <c r="F199" s="576"/>
    </row>
    <row r="200" spans="1:6" ht="37.5">
      <c r="A200" s="501">
        <v>929</v>
      </c>
      <c r="B200" s="202" t="s">
        <v>637</v>
      </c>
      <c r="C200" s="199" t="s">
        <v>2</v>
      </c>
      <c r="D200" s="245"/>
      <c r="E200" s="245"/>
      <c r="F200" s="245"/>
    </row>
    <row r="201" spans="1:6" ht="37.5">
      <c r="A201" s="501">
        <v>929</v>
      </c>
      <c r="B201" s="501" t="s">
        <v>638</v>
      </c>
      <c r="C201" s="244" t="s">
        <v>529</v>
      </c>
      <c r="D201" s="245"/>
      <c r="E201" s="245"/>
      <c r="F201" s="245"/>
    </row>
    <row r="202" spans="1:6" ht="57.75" customHeight="1">
      <c r="A202" s="501">
        <v>929</v>
      </c>
      <c r="B202" s="502" t="s">
        <v>894</v>
      </c>
      <c r="C202" s="231" t="s">
        <v>895</v>
      </c>
      <c r="D202" s="245"/>
      <c r="E202" s="245"/>
      <c r="F202" s="245"/>
    </row>
    <row r="203" spans="1:6" ht="30" customHeight="1">
      <c r="A203" s="202">
        <v>929</v>
      </c>
      <c r="B203" s="501" t="s">
        <v>542</v>
      </c>
      <c r="C203" s="199" t="s">
        <v>4</v>
      </c>
    </row>
    <row r="204" spans="1:6" ht="63" customHeight="1">
      <c r="A204" s="501">
        <v>929</v>
      </c>
      <c r="B204" s="501" t="s">
        <v>543</v>
      </c>
      <c r="C204" s="199" t="s">
        <v>5</v>
      </c>
    </row>
    <row r="205" spans="1:6" ht="75">
      <c r="A205" s="202">
        <v>929</v>
      </c>
      <c r="B205" s="501" t="s">
        <v>564</v>
      </c>
      <c r="C205" s="199" t="s">
        <v>457</v>
      </c>
    </row>
    <row r="206" spans="1:6" ht="43.5" customHeight="1">
      <c r="A206" s="492">
        <v>934</v>
      </c>
      <c r="B206" s="501"/>
      <c r="C206" s="204" t="s">
        <v>27</v>
      </c>
    </row>
    <row r="207" spans="1:6" s="193" customFormat="1" ht="37.5">
      <c r="A207" s="202">
        <v>934</v>
      </c>
      <c r="B207" s="202" t="s">
        <v>618</v>
      </c>
      <c r="C207" s="199" t="s">
        <v>619</v>
      </c>
      <c r="D207" s="192"/>
      <c r="E207" s="192"/>
      <c r="F207" s="192"/>
    </row>
    <row r="208" spans="1:6" s="577" customFormat="1" ht="114" customHeight="1">
      <c r="A208" s="501">
        <v>934</v>
      </c>
      <c r="B208" s="501" t="s">
        <v>734</v>
      </c>
      <c r="C208" s="199" t="s">
        <v>864</v>
      </c>
      <c r="D208" s="576"/>
      <c r="E208" s="576"/>
      <c r="F208" s="576"/>
    </row>
    <row r="209" spans="1:8" s="193" customFormat="1" ht="59.25" customHeight="1">
      <c r="A209" s="202">
        <v>934</v>
      </c>
      <c r="B209" s="202" t="s">
        <v>626</v>
      </c>
      <c r="C209" s="199" t="s">
        <v>627</v>
      </c>
      <c r="D209" s="192"/>
      <c r="E209" s="192"/>
      <c r="F209" s="192"/>
    </row>
    <row r="210" spans="1:8" s="193" customFormat="1" ht="37.5">
      <c r="A210" s="501">
        <v>934</v>
      </c>
      <c r="B210" s="202" t="s">
        <v>637</v>
      </c>
      <c r="C210" s="199" t="s">
        <v>2</v>
      </c>
      <c r="D210" s="192"/>
      <c r="E210" s="192"/>
      <c r="F210" s="192"/>
    </row>
    <row r="211" spans="1:8" ht="43.5" customHeight="1">
      <c r="A211" s="492">
        <v>953</v>
      </c>
      <c r="B211" s="202"/>
      <c r="C211" s="204" t="s">
        <v>28</v>
      </c>
    </row>
    <row r="212" spans="1:8" ht="37.5">
      <c r="A212" s="501">
        <v>953</v>
      </c>
      <c r="B212" s="202" t="s">
        <v>618</v>
      </c>
      <c r="C212" s="199" t="s">
        <v>619</v>
      </c>
    </row>
    <row r="213" spans="1:8" s="193" customFormat="1" ht="37.5">
      <c r="A213" s="501">
        <v>953</v>
      </c>
      <c r="B213" s="202" t="s">
        <v>637</v>
      </c>
      <c r="C213" s="199" t="s">
        <v>2</v>
      </c>
      <c r="D213" s="192"/>
      <c r="E213" s="192"/>
      <c r="F213" s="192"/>
    </row>
    <row r="214" spans="1:8" ht="56.25">
      <c r="A214" s="202">
        <v>953</v>
      </c>
      <c r="B214" s="501" t="s">
        <v>543</v>
      </c>
      <c r="C214" s="199" t="s">
        <v>5</v>
      </c>
    </row>
    <row r="215" spans="1:8" ht="75.75" customHeight="1">
      <c r="A215" s="202">
        <v>953</v>
      </c>
      <c r="B215" s="501" t="s">
        <v>552</v>
      </c>
      <c r="C215" s="199" t="s">
        <v>29</v>
      </c>
    </row>
    <row r="216" spans="1:8" ht="75">
      <c r="A216" s="202">
        <v>953</v>
      </c>
      <c r="B216" s="501" t="s">
        <v>564</v>
      </c>
      <c r="C216" s="199" t="s">
        <v>457</v>
      </c>
    </row>
    <row r="218" spans="1:8" ht="18.75">
      <c r="A218" s="808" t="s">
        <v>363</v>
      </c>
      <c r="B218" s="808"/>
      <c r="C218" s="808"/>
    </row>
    <row r="221" spans="1:8" s="210" customFormat="1" ht="18.75">
      <c r="A221" s="507" t="s">
        <v>467</v>
      </c>
      <c r="B221" s="504"/>
      <c r="C221" s="498"/>
      <c r="D221" s="207"/>
      <c r="E221" s="207"/>
      <c r="F221" s="207"/>
      <c r="G221" s="208"/>
      <c r="H221" s="209"/>
    </row>
    <row r="222" spans="1:8" s="210" customFormat="1" ht="18.75">
      <c r="A222" s="507" t="s">
        <v>468</v>
      </c>
      <c r="B222" s="504"/>
      <c r="C222" s="498"/>
      <c r="D222" s="207"/>
      <c r="E222" s="207"/>
      <c r="F222" s="207"/>
      <c r="G222" s="208"/>
      <c r="H222" s="209"/>
    </row>
    <row r="223" spans="1:8" s="210" customFormat="1" ht="18.75">
      <c r="A223" s="508" t="s">
        <v>469</v>
      </c>
      <c r="B223" s="504"/>
      <c r="C223" s="499" t="s">
        <v>494</v>
      </c>
      <c r="D223" s="207"/>
      <c r="E223" s="207"/>
      <c r="F223" s="207"/>
    </row>
  </sheetData>
  <mergeCells count="5">
    <mergeCell ref="A218:C218"/>
    <mergeCell ref="A7:C7"/>
    <mergeCell ref="A9:B9"/>
    <mergeCell ref="C10:C11"/>
    <mergeCell ref="A10:B10"/>
  </mergeCells>
  <printOptions horizontalCentered="1"/>
  <pageMargins left="1.1811023622047245" right="0.39370078740157483" top="0.78740157480314965" bottom="0.39370078740157483" header="0.11811023622047245" footer="0.11811023622047245"/>
  <pageSetup paperSize="9" scale="75" fitToHeight="0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545"/>
  <sheetViews>
    <sheetView zoomScale="80" zoomScaleNormal="80" workbookViewId="0">
      <selection activeCell="H2" sqref="H2"/>
    </sheetView>
  </sheetViews>
  <sheetFormatPr defaultColWidth="9.140625" defaultRowHeight="15.75"/>
  <cols>
    <col min="1" max="1" width="4.5703125" style="275" customWidth="1"/>
    <col min="2" max="2" width="62.42578125" style="276" customWidth="1"/>
    <col min="3" max="3" width="3.140625" style="277" customWidth="1"/>
    <col min="4" max="4" width="2" style="277" customWidth="1"/>
    <col min="5" max="5" width="3.140625" style="277" customWidth="1"/>
    <col min="6" max="6" width="8.7109375" style="277" customWidth="1"/>
    <col min="7" max="7" width="5.5703125" style="278" customWidth="1"/>
    <col min="8" max="8" width="25.5703125" style="281" customWidth="1"/>
    <col min="9" max="9" width="9.140625" style="280"/>
    <col min="10" max="10" width="17.7109375" style="280" customWidth="1"/>
    <col min="11" max="16384" width="9.140625" style="280"/>
  </cols>
  <sheetData>
    <row r="1" spans="1:12" s="194" customFormat="1" ht="18.75">
      <c r="H1" s="445" t="s">
        <v>987</v>
      </c>
      <c r="K1" s="720"/>
      <c r="L1" s="721"/>
    </row>
    <row r="2" spans="1:12" s="194" customFormat="1" ht="18.75">
      <c r="H2" s="445" t="s">
        <v>1017</v>
      </c>
      <c r="K2" s="720"/>
      <c r="L2" s="722"/>
    </row>
    <row r="4" spans="1:12" ht="18.75">
      <c r="H4" s="279" t="s">
        <v>540</v>
      </c>
    </row>
    <row r="5" spans="1:12" ht="18.75">
      <c r="H5" s="496" t="s">
        <v>922</v>
      </c>
    </row>
    <row r="8" spans="1:12" ht="72" customHeight="1">
      <c r="A8" s="841" t="s">
        <v>774</v>
      </c>
      <c r="B8" s="841"/>
      <c r="C8" s="841"/>
      <c r="D8" s="841"/>
      <c r="E8" s="841"/>
      <c r="F8" s="841"/>
      <c r="G8" s="841"/>
      <c r="H8" s="841"/>
    </row>
    <row r="9" spans="1:12">
      <c r="A9" s="280"/>
      <c r="B9" s="280"/>
      <c r="C9" s="275"/>
      <c r="D9" s="275"/>
      <c r="E9" s="275"/>
      <c r="F9" s="275"/>
      <c r="G9" s="281"/>
    </row>
    <row r="10" spans="1:12" ht="18.75">
      <c r="A10" s="282"/>
      <c r="B10" s="283"/>
      <c r="C10" s="284"/>
      <c r="D10" s="284"/>
      <c r="E10" s="284"/>
      <c r="F10" s="284"/>
      <c r="G10" s="280"/>
      <c r="H10" s="285" t="s">
        <v>42</v>
      </c>
    </row>
    <row r="11" spans="1:12" ht="37.15" customHeight="1">
      <c r="A11" s="742" t="s">
        <v>43</v>
      </c>
      <c r="B11" s="743" t="s">
        <v>44</v>
      </c>
      <c r="C11" s="842" t="s">
        <v>48</v>
      </c>
      <c r="D11" s="843"/>
      <c r="E11" s="843"/>
      <c r="F11" s="844"/>
      <c r="G11" s="743" t="s">
        <v>49</v>
      </c>
      <c r="H11" s="286" t="s">
        <v>33</v>
      </c>
    </row>
    <row r="12" spans="1:12" ht="18.75">
      <c r="A12" s="287">
        <v>1</v>
      </c>
      <c r="B12" s="288">
        <v>2</v>
      </c>
      <c r="C12" s="845" t="s">
        <v>50</v>
      </c>
      <c r="D12" s="846"/>
      <c r="E12" s="846"/>
      <c r="F12" s="847"/>
      <c r="G12" s="289" t="s">
        <v>51</v>
      </c>
      <c r="H12" s="290">
        <v>5</v>
      </c>
    </row>
    <row r="13" spans="1:12" ht="19.5" customHeight="1">
      <c r="A13" s="291"/>
      <c r="B13" s="292" t="s">
        <v>224</v>
      </c>
      <c r="C13" s="293"/>
      <c r="D13" s="293"/>
      <c r="E13" s="293"/>
      <c r="F13" s="293"/>
      <c r="G13" s="294"/>
      <c r="H13" s="295">
        <f>H14+H135+H185+H220+H245+H279+H301+H335+H383+H392+H398+H408+H416+H422+H490+H526+H371+H484+H498</f>
        <v>1594404.3900000004</v>
      </c>
      <c r="J13" s="296">
        <f>H13-'прил12(ведом 21)'!M14</f>
        <v>0</v>
      </c>
    </row>
    <row r="14" spans="1:12" s="303" customFormat="1" ht="56.25">
      <c r="A14" s="297">
        <v>1</v>
      </c>
      <c r="B14" s="298" t="s">
        <v>227</v>
      </c>
      <c r="C14" s="299" t="s">
        <v>59</v>
      </c>
      <c r="D14" s="299" t="s">
        <v>62</v>
      </c>
      <c r="E14" s="299" t="s">
        <v>63</v>
      </c>
      <c r="F14" s="300" t="s">
        <v>64</v>
      </c>
      <c r="G14" s="301"/>
      <c r="H14" s="302">
        <f>H15+H74+H99</f>
        <v>1074100.1600000001</v>
      </c>
    </row>
    <row r="15" spans="1:12" ht="18.75" customHeight="1">
      <c r="A15" s="291"/>
      <c r="B15" s="304" t="s">
        <v>228</v>
      </c>
      <c r="C15" s="739" t="s">
        <v>59</v>
      </c>
      <c r="D15" s="739" t="s">
        <v>65</v>
      </c>
      <c r="E15" s="739" t="s">
        <v>63</v>
      </c>
      <c r="F15" s="740" t="s">
        <v>64</v>
      </c>
      <c r="G15" s="289"/>
      <c r="H15" s="305">
        <f>H16+H34+H71</f>
        <v>942991.3</v>
      </c>
    </row>
    <row r="16" spans="1:12" ht="17.25" customHeight="1">
      <c r="A16" s="291"/>
      <c r="B16" s="304" t="s">
        <v>307</v>
      </c>
      <c r="C16" s="744" t="s">
        <v>59</v>
      </c>
      <c r="D16" s="745" t="s">
        <v>65</v>
      </c>
      <c r="E16" s="745" t="s">
        <v>57</v>
      </c>
      <c r="F16" s="746" t="s">
        <v>64</v>
      </c>
      <c r="G16" s="289"/>
      <c r="H16" s="305">
        <f>H25+H28+H30+H17+H21+H23+H19+H32</f>
        <v>332481.60000000003</v>
      </c>
    </row>
    <row r="17" spans="1:8" ht="37.5">
      <c r="A17" s="291"/>
      <c r="B17" s="304" t="s">
        <v>800</v>
      </c>
      <c r="C17" s="744" t="s">
        <v>59</v>
      </c>
      <c r="D17" s="745" t="s">
        <v>65</v>
      </c>
      <c r="E17" s="745" t="s">
        <v>57</v>
      </c>
      <c r="F17" s="746" t="s">
        <v>112</v>
      </c>
      <c r="G17" s="150"/>
      <c r="H17" s="305">
        <f>H18</f>
        <v>95802.1</v>
      </c>
    </row>
    <row r="18" spans="1:8" ht="37.5" customHeight="1">
      <c r="A18" s="291"/>
      <c r="B18" s="304" t="s">
        <v>97</v>
      </c>
      <c r="C18" s="744" t="s">
        <v>59</v>
      </c>
      <c r="D18" s="745" t="s">
        <v>65</v>
      </c>
      <c r="E18" s="745" t="s">
        <v>57</v>
      </c>
      <c r="F18" s="746" t="s">
        <v>112</v>
      </c>
      <c r="G18" s="150" t="s">
        <v>98</v>
      </c>
      <c r="H18" s="305">
        <f>'прил12(ведом 21)'!M375</f>
        <v>95802.1</v>
      </c>
    </row>
    <row r="19" spans="1:8" ht="24.75" customHeight="1">
      <c r="A19" s="291"/>
      <c r="B19" s="164" t="s">
        <v>801</v>
      </c>
      <c r="C19" s="744" t="s">
        <v>59</v>
      </c>
      <c r="D19" s="745" t="s">
        <v>65</v>
      </c>
      <c r="E19" s="745" t="s">
        <v>57</v>
      </c>
      <c r="F19" s="746" t="s">
        <v>479</v>
      </c>
      <c r="G19" s="150"/>
      <c r="H19" s="305">
        <f>H20</f>
        <v>2204</v>
      </c>
    </row>
    <row r="20" spans="1:8" ht="38.25" customHeight="1">
      <c r="A20" s="291"/>
      <c r="B20" s="164" t="s">
        <v>97</v>
      </c>
      <c r="C20" s="744" t="s">
        <v>59</v>
      </c>
      <c r="D20" s="745" t="s">
        <v>65</v>
      </c>
      <c r="E20" s="745" t="s">
        <v>57</v>
      </c>
      <c r="F20" s="746" t="s">
        <v>479</v>
      </c>
      <c r="G20" s="150" t="s">
        <v>98</v>
      </c>
      <c r="H20" s="305">
        <f>'прил12(ведом 21)'!M377</f>
        <v>2204</v>
      </c>
    </row>
    <row r="21" spans="1:8" ht="38.25" customHeight="1">
      <c r="A21" s="291"/>
      <c r="B21" s="164" t="s">
        <v>229</v>
      </c>
      <c r="C21" s="744" t="s">
        <v>59</v>
      </c>
      <c r="D21" s="745" t="s">
        <v>65</v>
      </c>
      <c r="E21" s="745" t="s">
        <v>57</v>
      </c>
      <c r="F21" s="746" t="s">
        <v>313</v>
      </c>
      <c r="G21" s="150"/>
      <c r="H21" s="305">
        <f>H22</f>
        <v>7747.4</v>
      </c>
    </row>
    <row r="22" spans="1:8" ht="41.25" customHeight="1">
      <c r="A22" s="291"/>
      <c r="B22" s="164" t="s">
        <v>97</v>
      </c>
      <c r="C22" s="744" t="s">
        <v>59</v>
      </c>
      <c r="D22" s="745" t="s">
        <v>65</v>
      </c>
      <c r="E22" s="745" t="s">
        <v>57</v>
      </c>
      <c r="F22" s="746" t="s">
        <v>313</v>
      </c>
      <c r="G22" s="150" t="s">
        <v>98</v>
      </c>
      <c r="H22" s="305">
        <f>'прил12(ведом 21)'!M379</f>
        <v>7747.4</v>
      </c>
    </row>
    <row r="23" spans="1:8" ht="36" customHeight="1">
      <c r="A23" s="291"/>
      <c r="B23" s="164" t="s">
        <v>230</v>
      </c>
      <c r="C23" s="744" t="s">
        <v>59</v>
      </c>
      <c r="D23" s="745" t="s">
        <v>65</v>
      </c>
      <c r="E23" s="745" t="s">
        <v>57</v>
      </c>
      <c r="F23" s="746" t="s">
        <v>314</v>
      </c>
      <c r="G23" s="150"/>
      <c r="H23" s="305">
        <f>H24</f>
        <v>4072.7999999999997</v>
      </c>
    </row>
    <row r="24" spans="1:8" ht="39" customHeight="1">
      <c r="A24" s="291"/>
      <c r="B24" s="307" t="s">
        <v>225</v>
      </c>
      <c r="C24" s="744" t="s">
        <v>59</v>
      </c>
      <c r="D24" s="745" t="s">
        <v>65</v>
      </c>
      <c r="E24" s="745" t="s">
        <v>57</v>
      </c>
      <c r="F24" s="746" t="s">
        <v>314</v>
      </c>
      <c r="G24" s="150" t="s">
        <v>226</v>
      </c>
      <c r="H24" s="305">
        <f>'прил12(ведом 21)'!M338</f>
        <v>4072.7999999999997</v>
      </c>
    </row>
    <row r="25" spans="1:8" ht="112.5" customHeight="1">
      <c r="A25" s="291"/>
      <c r="B25" s="304" t="s">
        <v>323</v>
      </c>
      <c r="C25" s="744" t="s">
        <v>59</v>
      </c>
      <c r="D25" s="745" t="s">
        <v>65</v>
      </c>
      <c r="E25" s="745" t="s">
        <v>57</v>
      </c>
      <c r="F25" s="746" t="s">
        <v>324</v>
      </c>
      <c r="G25" s="150"/>
      <c r="H25" s="305">
        <f>SUM(H26:H27)</f>
        <v>8034.2</v>
      </c>
    </row>
    <row r="26" spans="1:8" ht="37.5">
      <c r="A26" s="291"/>
      <c r="B26" s="304" t="s">
        <v>75</v>
      </c>
      <c r="C26" s="744" t="s">
        <v>59</v>
      </c>
      <c r="D26" s="745" t="s">
        <v>65</v>
      </c>
      <c r="E26" s="745" t="s">
        <v>57</v>
      </c>
      <c r="F26" s="746" t="s">
        <v>324</v>
      </c>
      <c r="G26" s="150" t="s">
        <v>76</v>
      </c>
      <c r="H26" s="305">
        <f>'прил12(ведом 21)'!M504</f>
        <v>118.7</v>
      </c>
    </row>
    <row r="27" spans="1:8" ht="22.5" customHeight="1">
      <c r="A27" s="291"/>
      <c r="B27" s="306" t="s">
        <v>141</v>
      </c>
      <c r="C27" s="744" t="s">
        <v>59</v>
      </c>
      <c r="D27" s="745" t="s">
        <v>65</v>
      </c>
      <c r="E27" s="745" t="s">
        <v>57</v>
      </c>
      <c r="F27" s="746" t="s">
        <v>324</v>
      </c>
      <c r="G27" s="150" t="s">
        <v>142</v>
      </c>
      <c r="H27" s="305">
        <f>'прил12(ведом 21)'!M505</f>
        <v>7915.5</v>
      </c>
    </row>
    <row r="28" spans="1:8" ht="18.75">
      <c r="A28" s="291"/>
      <c r="B28" s="304" t="s">
        <v>308</v>
      </c>
      <c r="C28" s="744" t="s">
        <v>59</v>
      </c>
      <c r="D28" s="745" t="s">
        <v>65</v>
      </c>
      <c r="E28" s="745" t="s">
        <v>57</v>
      </c>
      <c r="F28" s="746" t="s">
        <v>309</v>
      </c>
      <c r="G28" s="150"/>
      <c r="H28" s="305">
        <f>H29</f>
        <v>503.3</v>
      </c>
    </row>
    <row r="29" spans="1:8" ht="41.25" customHeight="1">
      <c r="A29" s="291"/>
      <c r="B29" s="304" t="s">
        <v>97</v>
      </c>
      <c r="C29" s="744" t="s">
        <v>59</v>
      </c>
      <c r="D29" s="745" t="s">
        <v>65</v>
      </c>
      <c r="E29" s="745" t="s">
        <v>57</v>
      </c>
      <c r="F29" s="746" t="s">
        <v>309</v>
      </c>
      <c r="G29" s="150" t="s">
        <v>98</v>
      </c>
      <c r="H29" s="305">
        <f>'прил12(ведом 21)'!M381</f>
        <v>503.3</v>
      </c>
    </row>
    <row r="30" spans="1:8" ht="97.5" customHeight="1">
      <c r="A30" s="291"/>
      <c r="B30" s="304" t="s">
        <v>415</v>
      </c>
      <c r="C30" s="744" t="s">
        <v>59</v>
      </c>
      <c r="D30" s="745" t="s">
        <v>65</v>
      </c>
      <c r="E30" s="745" t="s">
        <v>57</v>
      </c>
      <c r="F30" s="746" t="s">
        <v>310</v>
      </c>
      <c r="G30" s="150"/>
      <c r="H30" s="305">
        <f>H31</f>
        <v>212697.8</v>
      </c>
    </row>
    <row r="31" spans="1:8" ht="39.75" customHeight="1">
      <c r="A31" s="291"/>
      <c r="B31" s="306" t="s">
        <v>97</v>
      </c>
      <c r="C31" s="744" t="s">
        <v>59</v>
      </c>
      <c r="D31" s="745" t="s">
        <v>65</v>
      </c>
      <c r="E31" s="745" t="s">
        <v>57</v>
      </c>
      <c r="F31" s="746" t="s">
        <v>310</v>
      </c>
      <c r="G31" s="150" t="s">
        <v>98</v>
      </c>
      <c r="H31" s="305">
        <f>'прил12(ведом 21)'!M383</f>
        <v>212697.8</v>
      </c>
    </row>
    <row r="32" spans="1:8" ht="56.25">
      <c r="A32" s="291"/>
      <c r="B32" s="766" t="s">
        <v>1013</v>
      </c>
      <c r="C32" s="769" t="s">
        <v>59</v>
      </c>
      <c r="D32" s="770" t="s">
        <v>65</v>
      </c>
      <c r="E32" s="770" t="s">
        <v>57</v>
      </c>
      <c r="F32" s="771" t="s">
        <v>1014</v>
      </c>
      <c r="G32" s="768"/>
      <c r="H32" s="789">
        <f>H33</f>
        <v>1420</v>
      </c>
    </row>
    <row r="33" spans="1:8" ht="39.75" customHeight="1">
      <c r="A33" s="291"/>
      <c r="B33" s="790" t="s">
        <v>97</v>
      </c>
      <c r="C33" s="769" t="s">
        <v>59</v>
      </c>
      <c r="D33" s="770" t="s">
        <v>65</v>
      </c>
      <c r="E33" s="770" t="s">
        <v>57</v>
      </c>
      <c r="F33" s="771" t="s">
        <v>1014</v>
      </c>
      <c r="G33" s="768" t="s">
        <v>98</v>
      </c>
      <c r="H33" s="789">
        <f>'прил12(ведом 21)'!M385</f>
        <v>1420</v>
      </c>
    </row>
    <row r="34" spans="1:8" ht="18.75">
      <c r="A34" s="291"/>
      <c r="B34" s="304" t="s">
        <v>312</v>
      </c>
      <c r="C34" s="744" t="s">
        <v>59</v>
      </c>
      <c r="D34" s="745" t="s">
        <v>65</v>
      </c>
      <c r="E34" s="745" t="s">
        <v>59</v>
      </c>
      <c r="F34" s="746" t="s">
        <v>64</v>
      </c>
      <c r="G34" s="150"/>
      <c r="H34" s="305">
        <f>H43+H46+H54+H58+H62+H35+H40+H65+H68+H51</f>
        <v>610059.70000000007</v>
      </c>
    </row>
    <row r="35" spans="1:8" ht="37.5">
      <c r="A35" s="291"/>
      <c r="B35" s="304" t="s">
        <v>800</v>
      </c>
      <c r="C35" s="744" t="s">
        <v>59</v>
      </c>
      <c r="D35" s="745" t="s">
        <v>65</v>
      </c>
      <c r="E35" s="745" t="s">
        <v>59</v>
      </c>
      <c r="F35" s="746" t="s">
        <v>112</v>
      </c>
      <c r="G35" s="150"/>
      <c r="H35" s="305">
        <f>SUM(H36:H39)</f>
        <v>57918.400000000001</v>
      </c>
    </row>
    <row r="36" spans="1:8" ht="93.75">
      <c r="A36" s="291"/>
      <c r="B36" s="164" t="s">
        <v>69</v>
      </c>
      <c r="C36" s="744" t="s">
        <v>59</v>
      </c>
      <c r="D36" s="745" t="s">
        <v>65</v>
      </c>
      <c r="E36" s="745" t="s">
        <v>59</v>
      </c>
      <c r="F36" s="746" t="s">
        <v>112</v>
      </c>
      <c r="G36" s="150" t="s">
        <v>70</v>
      </c>
      <c r="H36" s="305">
        <f>'прил12(ведом 21)'!M399</f>
        <v>899.4</v>
      </c>
    </row>
    <row r="37" spans="1:8" ht="37.5">
      <c r="A37" s="291"/>
      <c r="B37" s="164" t="s">
        <v>75</v>
      </c>
      <c r="C37" s="744" t="s">
        <v>59</v>
      </c>
      <c r="D37" s="745" t="s">
        <v>65</v>
      </c>
      <c r="E37" s="745" t="s">
        <v>59</v>
      </c>
      <c r="F37" s="746" t="s">
        <v>112</v>
      </c>
      <c r="G37" s="150" t="s">
        <v>76</v>
      </c>
      <c r="H37" s="305">
        <f>'прил12(ведом 21)'!M400</f>
        <v>4689.5999999999995</v>
      </c>
    </row>
    <row r="38" spans="1:8" ht="40.5" customHeight="1">
      <c r="A38" s="291"/>
      <c r="B38" s="304" t="s">
        <v>97</v>
      </c>
      <c r="C38" s="744" t="s">
        <v>59</v>
      </c>
      <c r="D38" s="745" t="s">
        <v>65</v>
      </c>
      <c r="E38" s="745" t="s">
        <v>59</v>
      </c>
      <c r="F38" s="746" t="s">
        <v>112</v>
      </c>
      <c r="G38" s="150" t="s">
        <v>98</v>
      </c>
      <c r="H38" s="305">
        <f>'прил12(ведом 21)'!M401</f>
        <v>51670.400000000001</v>
      </c>
    </row>
    <row r="39" spans="1:8" ht="18.75">
      <c r="A39" s="291"/>
      <c r="B39" s="304" t="s">
        <v>77</v>
      </c>
      <c r="C39" s="744" t="s">
        <v>59</v>
      </c>
      <c r="D39" s="745" t="s">
        <v>65</v>
      </c>
      <c r="E39" s="745" t="s">
        <v>59</v>
      </c>
      <c r="F39" s="746" t="s">
        <v>112</v>
      </c>
      <c r="G39" s="150" t="s">
        <v>78</v>
      </c>
      <c r="H39" s="305">
        <f>'прил12(ведом 21)'!M402</f>
        <v>659</v>
      </c>
    </row>
    <row r="40" spans="1:8" ht="18.75">
      <c r="A40" s="291"/>
      <c r="B40" s="164" t="s">
        <v>801</v>
      </c>
      <c r="C40" s="744" t="s">
        <v>59</v>
      </c>
      <c r="D40" s="745" t="s">
        <v>65</v>
      </c>
      <c r="E40" s="745" t="s">
        <v>59</v>
      </c>
      <c r="F40" s="746" t="s">
        <v>479</v>
      </c>
      <c r="G40" s="150"/>
      <c r="H40" s="305">
        <f>SUM(H41:H42)</f>
        <v>3465.4000000000005</v>
      </c>
    </row>
    <row r="41" spans="1:8" ht="37.5">
      <c r="A41" s="291"/>
      <c r="B41" s="164" t="s">
        <v>75</v>
      </c>
      <c r="C41" s="744" t="s">
        <v>59</v>
      </c>
      <c r="D41" s="745" t="s">
        <v>65</v>
      </c>
      <c r="E41" s="745" t="s">
        <v>59</v>
      </c>
      <c r="F41" s="746" t="s">
        <v>479</v>
      </c>
      <c r="G41" s="150" t="s">
        <v>76</v>
      </c>
      <c r="H41" s="305">
        <f>'прил12(ведом 21)'!M404</f>
        <v>686.1</v>
      </c>
    </row>
    <row r="42" spans="1:8" ht="43.5" customHeight="1">
      <c r="A42" s="291"/>
      <c r="B42" s="304" t="s">
        <v>97</v>
      </c>
      <c r="C42" s="744" t="s">
        <v>59</v>
      </c>
      <c r="D42" s="745" t="s">
        <v>65</v>
      </c>
      <c r="E42" s="745" t="s">
        <v>59</v>
      </c>
      <c r="F42" s="746" t="s">
        <v>479</v>
      </c>
      <c r="G42" s="150" t="s">
        <v>98</v>
      </c>
      <c r="H42" s="305">
        <f>'прил12(ведом 21)'!M405</f>
        <v>2779.3000000000006</v>
      </c>
    </row>
    <row r="43" spans="1:8" ht="42.75" customHeight="1">
      <c r="A43" s="291"/>
      <c r="B43" s="304" t="s">
        <v>229</v>
      </c>
      <c r="C43" s="744" t="s">
        <v>59</v>
      </c>
      <c r="D43" s="745" t="s">
        <v>65</v>
      </c>
      <c r="E43" s="745" t="s">
        <v>59</v>
      </c>
      <c r="F43" s="746" t="s">
        <v>313</v>
      </c>
      <c r="G43" s="150"/>
      <c r="H43" s="305">
        <f>SUM(H44:H45)</f>
        <v>23188.1</v>
      </c>
    </row>
    <row r="44" spans="1:8" ht="37.5">
      <c r="A44" s="291"/>
      <c r="B44" s="164" t="s">
        <v>75</v>
      </c>
      <c r="C44" s="744" t="s">
        <v>59</v>
      </c>
      <c r="D44" s="745" t="s">
        <v>65</v>
      </c>
      <c r="E44" s="745" t="s">
        <v>59</v>
      </c>
      <c r="F44" s="746" t="s">
        <v>313</v>
      </c>
      <c r="G44" s="150" t="s">
        <v>76</v>
      </c>
      <c r="H44" s="305">
        <f>'прил12(ведом 21)'!M407</f>
        <v>3504</v>
      </c>
    </row>
    <row r="45" spans="1:8" ht="42" customHeight="1">
      <c r="A45" s="291"/>
      <c r="B45" s="304" t="s">
        <v>97</v>
      </c>
      <c r="C45" s="744" t="s">
        <v>59</v>
      </c>
      <c r="D45" s="745" t="s">
        <v>65</v>
      </c>
      <c r="E45" s="745" t="s">
        <v>59</v>
      </c>
      <c r="F45" s="746" t="s">
        <v>313</v>
      </c>
      <c r="G45" s="150" t="s">
        <v>98</v>
      </c>
      <c r="H45" s="305">
        <f>'прил12(ведом 21)'!M408</f>
        <v>19684.099999999999</v>
      </c>
    </row>
    <row r="46" spans="1:8" ht="37.5">
      <c r="A46" s="291"/>
      <c r="B46" s="304" t="s">
        <v>230</v>
      </c>
      <c r="C46" s="744" t="s">
        <v>59</v>
      </c>
      <c r="D46" s="745" t="s">
        <v>65</v>
      </c>
      <c r="E46" s="745" t="s">
        <v>59</v>
      </c>
      <c r="F46" s="746" t="s">
        <v>314</v>
      </c>
      <c r="G46" s="150"/>
      <c r="H46" s="305">
        <f>SUM(H47:H50)</f>
        <v>20019.5</v>
      </c>
    </row>
    <row r="47" spans="1:8" ht="37.5">
      <c r="A47" s="291"/>
      <c r="B47" s="164" t="s">
        <v>75</v>
      </c>
      <c r="C47" s="744" t="s">
        <v>59</v>
      </c>
      <c r="D47" s="745" t="s">
        <v>65</v>
      </c>
      <c r="E47" s="745" t="s">
        <v>59</v>
      </c>
      <c r="F47" s="746" t="s">
        <v>314</v>
      </c>
      <c r="G47" s="150" t="s">
        <v>76</v>
      </c>
      <c r="H47" s="305">
        <f>'прил12(ведом 21)'!M410</f>
        <v>334.4</v>
      </c>
    </row>
    <row r="48" spans="1:8" ht="37.5">
      <c r="A48" s="291"/>
      <c r="B48" s="164" t="s">
        <v>141</v>
      </c>
      <c r="C48" s="744" t="s">
        <v>59</v>
      </c>
      <c r="D48" s="745" t="s">
        <v>65</v>
      </c>
      <c r="E48" s="745" t="s">
        <v>59</v>
      </c>
      <c r="F48" s="746" t="s">
        <v>314</v>
      </c>
      <c r="G48" s="150" t="s">
        <v>142</v>
      </c>
      <c r="H48" s="305">
        <f>'прил12(ведом 21)'!M411</f>
        <v>11.4</v>
      </c>
    </row>
    <row r="49" spans="1:8" ht="37.5">
      <c r="A49" s="291"/>
      <c r="B49" s="307" t="s">
        <v>225</v>
      </c>
      <c r="C49" s="744" t="s">
        <v>59</v>
      </c>
      <c r="D49" s="745" t="s">
        <v>65</v>
      </c>
      <c r="E49" s="745" t="s">
        <v>59</v>
      </c>
      <c r="F49" s="746" t="s">
        <v>314</v>
      </c>
      <c r="G49" s="150" t="s">
        <v>226</v>
      </c>
      <c r="H49" s="305">
        <f>'прил12(ведом 21)'!M412+'прил12(ведом 21)'!M344</f>
        <v>3440.5</v>
      </c>
    </row>
    <row r="50" spans="1:8" ht="42" customHeight="1">
      <c r="A50" s="291"/>
      <c r="B50" s="304" t="s">
        <v>97</v>
      </c>
      <c r="C50" s="744" t="s">
        <v>59</v>
      </c>
      <c r="D50" s="745" t="s">
        <v>65</v>
      </c>
      <c r="E50" s="745" t="s">
        <v>59</v>
      </c>
      <c r="F50" s="746" t="s">
        <v>314</v>
      </c>
      <c r="G50" s="150" t="s">
        <v>98</v>
      </c>
      <c r="H50" s="305">
        <f>'прил12(ведом 21)'!M413</f>
        <v>16233.2</v>
      </c>
    </row>
    <row r="51" spans="1:8" ht="77.25" customHeight="1">
      <c r="A51" s="291"/>
      <c r="B51" s="164" t="s">
        <v>897</v>
      </c>
      <c r="C51" s="744" t="s">
        <v>59</v>
      </c>
      <c r="D51" s="745" t="s">
        <v>65</v>
      </c>
      <c r="E51" s="745" t="s">
        <v>59</v>
      </c>
      <c r="F51" s="746" t="s">
        <v>896</v>
      </c>
      <c r="G51" s="150"/>
      <c r="H51" s="305">
        <f>H52+H53</f>
        <v>36560.199999999997</v>
      </c>
    </row>
    <row r="52" spans="1:8" ht="54.75" customHeight="1">
      <c r="A52" s="291"/>
      <c r="B52" s="164" t="s">
        <v>69</v>
      </c>
      <c r="C52" s="744" t="s">
        <v>59</v>
      </c>
      <c r="D52" s="745" t="s">
        <v>65</v>
      </c>
      <c r="E52" s="745" t="s">
        <v>59</v>
      </c>
      <c r="F52" s="746" t="s">
        <v>896</v>
      </c>
      <c r="G52" s="150" t="s">
        <v>70</v>
      </c>
      <c r="H52" s="305">
        <f>'прил12(ведом 21)'!M415</f>
        <v>2968.6</v>
      </c>
    </row>
    <row r="53" spans="1:8" ht="42" customHeight="1">
      <c r="A53" s="291"/>
      <c r="B53" s="164" t="s">
        <v>97</v>
      </c>
      <c r="C53" s="744" t="s">
        <v>59</v>
      </c>
      <c r="D53" s="745" t="s">
        <v>65</v>
      </c>
      <c r="E53" s="745" t="s">
        <v>59</v>
      </c>
      <c r="F53" s="746" t="s">
        <v>896</v>
      </c>
      <c r="G53" s="150" t="s">
        <v>98</v>
      </c>
      <c r="H53" s="305">
        <f>'прил12(ведом 21)'!M416</f>
        <v>33591.599999999999</v>
      </c>
    </row>
    <row r="54" spans="1:8" ht="18.75">
      <c r="A54" s="291"/>
      <c r="B54" s="304" t="s">
        <v>308</v>
      </c>
      <c r="C54" s="744" t="s">
        <v>59</v>
      </c>
      <c r="D54" s="745" t="s">
        <v>65</v>
      </c>
      <c r="E54" s="745" t="s">
        <v>59</v>
      </c>
      <c r="F54" s="746" t="s">
        <v>309</v>
      </c>
      <c r="G54" s="150"/>
      <c r="H54" s="305">
        <f>SUM(H55:H57)</f>
        <v>1577.8</v>
      </c>
    </row>
    <row r="55" spans="1:8" ht="93.75">
      <c r="A55" s="291"/>
      <c r="B55" s="164" t="s">
        <v>69</v>
      </c>
      <c r="C55" s="744" t="s">
        <v>59</v>
      </c>
      <c r="D55" s="745" t="s">
        <v>65</v>
      </c>
      <c r="E55" s="745" t="s">
        <v>59</v>
      </c>
      <c r="F55" s="746" t="s">
        <v>309</v>
      </c>
      <c r="G55" s="150" t="s">
        <v>70</v>
      </c>
      <c r="H55" s="305">
        <f>'прил12(ведом 21)'!M418</f>
        <v>115.8</v>
      </c>
    </row>
    <row r="56" spans="1:8" ht="24.75" customHeight="1">
      <c r="A56" s="291"/>
      <c r="B56" s="164" t="s">
        <v>141</v>
      </c>
      <c r="C56" s="744" t="s">
        <v>59</v>
      </c>
      <c r="D56" s="745" t="s">
        <v>65</v>
      </c>
      <c r="E56" s="745" t="s">
        <v>59</v>
      </c>
      <c r="F56" s="746" t="s">
        <v>309</v>
      </c>
      <c r="G56" s="150" t="s">
        <v>142</v>
      </c>
      <c r="H56" s="305">
        <f>'прил12(ведом 21)'!M419</f>
        <v>13.9</v>
      </c>
    </row>
    <row r="57" spans="1:8" ht="42" customHeight="1">
      <c r="A57" s="291"/>
      <c r="B57" s="304" t="s">
        <v>97</v>
      </c>
      <c r="C57" s="744" t="s">
        <v>59</v>
      </c>
      <c r="D57" s="745" t="s">
        <v>65</v>
      </c>
      <c r="E57" s="745" t="s">
        <v>59</v>
      </c>
      <c r="F57" s="746" t="s">
        <v>309</v>
      </c>
      <c r="G57" s="150" t="s">
        <v>98</v>
      </c>
      <c r="H57" s="305">
        <f>'прил12(ведом 21)'!M420</f>
        <v>1448.1</v>
      </c>
    </row>
    <row r="58" spans="1:8" ht="99" customHeight="1">
      <c r="A58" s="291"/>
      <c r="B58" s="304" t="s">
        <v>415</v>
      </c>
      <c r="C58" s="744" t="s">
        <v>59</v>
      </c>
      <c r="D58" s="745" t="s">
        <v>65</v>
      </c>
      <c r="E58" s="745" t="s">
        <v>59</v>
      </c>
      <c r="F58" s="746" t="s">
        <v>310</v>
      </c>
      <c r="G58" s="150"/>
      <c r="H58" s="305">
        <f>SUM(H59:H61)</f>
        <v>404790.7</v>
      </c>
    </row>
    <row r="59" spans="1:8" ht="93.75">
      <c r="A59" s="291"/>
      <c r="B59" s="304" t="s">
        <v>69</v>
      </c>
      <c r="C59" s="744" t="s">
        <v>59</v>
      </c>
      <c r="D59" s="745" t="s">
        <v>65</v>
      </c>
      <c r="E59" s="745" t="s">
        <v>59</v>
      </c>
      <c r="F59" s="746" t="s">
        <v>310</v>
      </c>
      <c r="G59" s="150" t="s">
        <v>70</v>
      </c>
      <c r="H59" s="305">
        <f>'прил12(ведом 21)'!M422</f>
        <v>27962</v>
      </c>
    </row>
    <row r="60" spans="1:8" ht="37.5">
      <c r="A60" s="291"/>
      <c r="B60" s="304" t="s">
        <v>75</v>
      </c>
      <c r="C60" s="744" t="s">
        <v>59</v>
      </c>
      <c r="D60" s="745" t="s">
        <v>65</v>
      </c>
      <c r="E60" s="745" t="s">
        <v>59</v>
      </c>
      <c r="F60" s="746" t="s">
        <v>310</v>
      </c>
      <c r="G60" s="150" t="s">
        <v>76</v>
      </c>
      <c r="H60" s="305">
        <f>'прил12(ведом 21)'!M423</f>
        <v>1898.4</v>
      </c>
    </row>
    <row r="61" spans="1:8" ht="41.25" customHeight="1">
      <c r="A61" s="291"/>
      <c r="B61" s="304" t="s">
        <v>97</v>
      </c>
      <c r="C61" s="744" t="s">
        <v>59</v>
      </c>
      <c r="D61" s="745" t="s">
        <v>65</v>
      </c>
      <c r="E61" s="745" t="s">
        <v>59</v>
      </c>
      <c r="F61" s="746" t="s">
        <v>310</v>
      </c>
      <c r="G61" s="150" t="s">
        <v>98</v>
      </c>
      <c r="H61" s="305">
        <f>'прил12(ведом 21)'!M424</f>
        <v>374930.3</v>
      </c>
    </row>
    <row r="62" spans="1:8" ht="81" customHeight="1">
      <c r="A62" s="291"/>
      <c r="B62" s="304" t="s">
        <v>231</v>
      </c>
      <c r="C62" s="739" t="s">
        <v>59</v>
      </c>
      <c r="D62" s="739" t="s">
        <v>65</v>
      </c>
      <c r="E62" s="739" t="s">
        <v>59</v>
      </c>
      <c r="F62" s="740" t="s">
        <v>315</v>
      </c>
      <c r="G62" s="289"/>
      <c r="H62" s="305">
        <f>SUM(H63:H64)</f>
        <v>2399</v>
      </c>
    </row>
    <row r="63" spans="1:8" ht="37.5">
      <c r="A63" s="291"/>
      <c r="B63" s="164" t="s">
        <v>75</v>
      </c>
      <c r="C63" s="744" t="s">
        <v>59</v>
      </c>
      <c r="D63" s="745" t="s">
        <v>65</v>
      </c>
      <c r="E63" s="745" t="s">
        <v>59</v>
      </c>
      <c r="F63" s="746" t="s">
        <v>315</v>
      </c>
      <c r="G63" s="150" t="s">
        <v>76</v>
      </c>
      <c r="H63" s="305">
        <f>'прил12(ведом 21)'!M426</f>
        <v>104.8</v>
      </c>
    </row>
    <row r="64" spans="1:8" ht="41.25" customHeight="1">
      <c r="A64" s="291"/>
      <c r="B64" s="304" t="s">
        <v>97</v>
      </c>
      <c r="C64" s="739" t="s">
        <v>59</v>
      </c>
      <c r="D64" s="739" t="s">
        <v>65</v>
      </c>
      <c r="E64" s="739" t="s">
        <v>59</v>
      </c>
      <c r="F64" s="740" t="s">
        <v>315</v>
      </c>
      <c r="G64" s="289" t="s">
        <v>98</v>
      </c>
      <c r="H64" s="305">
        <f>'прил12(ведом 21)'!M427</f>
        <v>2294.1999999999998</v>
      </c>
    </row>
    <row r="65" spans="1:8" ht="56.25">
      <c r="A65" s="291"/>
      <c r="B65" s="766" t="s">
        <v>1013</v>
      </c>
      <c r="C65" s="769" t="s">
        <v>59</v>
      </c>
      <c r="D65" s="770" t="s">
        <v>65</v>
      </c>
      <c r="E65" s="770" t="s">
        <v>59</v>
      </c>
      <c r="F65" s="771" t="s">
        <v>1014</v>
      </c>
      <c r="G65" s="768"/>
      <c r="H65" s="789">
        <f>H66+H67</f>
        <v>6665</v>
      </c>
    </row>
    <row r="66" spans="1:8" ht="41.25" customHeight="1">
      <c r="A66" s="291"/>
      <c r="B66" s="766" t="s">
        <v>75</v>
      </c>
      <c r="C66" s="769" t="s">
        <v>59</v>
      </c>
      <c r="D66" s="770" t="s">
        <v>65</v>
      </c>
      <c r="E66" s="770" t="s">
        <v>59</v>
      </c>
      <c r="F66" s="771" t="s">
        <v>1014</v>
      </c>
      <c r="G66" s="768" t="s">
        <v>76</v>
      </c>
      <c r="H66" s="789">
        <f>'прил12(ведом 21)'!M429</f>
        <v>800</v>
      </c>
    </row>
    <row r="67" spans="1:8" ht="56.25">
      <c r="A67" s="291"/>
      <c r="B67" s="766" t="s">
        <v>97</v>
      </c>
      <c r="C67" s="769" t="s">
        <v>59</v>
      </c>
      <c r="D67" s="770" t="s">
        <v>65</v>
      </c>
      <c r="E67" s="770" t="s">
        <v>59</v>
      </c>
      <c r="F67" s="771" t="s">
        <v>1014</v>
      </c>
      <c r="G67" s="768" t="s">
        <v>98</v>
      </c>
      <c r="H67" s="789">
        <f>'прил12(ведом 21)'!M430</f>
        <v>5865</v>
      </c>
    </row>
    <row r="68" spans="1:8" ht="75" customHeight="1">
      <c r="A68" s="291"/>
      <c r="B68" s="164" t="s">
        <v>768</v>
      </c>
      <c r="C68" s="744" t="s">
        <v>59</v>
      </c>
      <c r="D68" s="745" t="s">
        <v>65</v>
      </c>
      <c r="E68" s="745" t="s">
        <v>59</v>
      </c>
      <c r="F68" s="746" t="s">
        <v>767</v>
      </c>
      <c r="G68" s="150"/>
      <c r="H68" s="305">
        <f>H69+H70</f>
        <v>53475.6</v>
      </c>
    </row>
    <row r="69" spans="1:8" ht="38.25" customHeight="1">
      <c r="A69" s="291"/>
      <c r="B69" s="164" t="s">
        <v>75</v>
      </c>
      <c r="C69" s="744" t="s">
        <v>59</v>
      </c>
      <c r="D69" s="745" t="s">
        <v>65</v>
      </c>
      <c r="E69" s="745" t="s">
        <v>59</v>
      </c>
      <c r="F69" s="746" t="s">
        <v>767</v>
      </c>
      <c r="G69" s="150" t="s">
        <v>76</v>
      </c>
      <c r="H69" s="305">
        <f>'прил12(ведом 21)'!M432</f>
        <v>1613.7</v>
      </c>
    </row>
    <row r="70" spans="1:8" ht="39" customHeight="1">
      <c r="A70" s="291"/>
      <c r="B70" s="164" t="s">
        <v>97</v>
      </c>
      <c r="C70" s="744" t="s">
        <v>59</v>
      </c>
      <c r="D70" s="745" t="s">
        <v>65</v>
      </c>
      <c r="E70" s="745" t="s">
        <v>59</v>
      </c>
      <c r="F70" s="746" t="s">
        <v>767</v>
      </c>
      <c r="G70" s="150" t="s">
        <v>98</v>
      </c>
      <c r="H70" s="305">
        <f>'прил12(ведом 21)'!M433</f>
        <v>51861.9</v>
      </c>
    </row>
    <row r="71" spans="1:8" ht="42" customHeight="1">
      <c r="A71" s="291"/>
      <c r="B71" s="164" t="s">
        <v>728</v>
      </c>
      <c r="C71" s="744" t="s">
        <v>59</v>
      </c>
      <c r="D71" s="745" t="s">
        <v>65</v>
      </c>
      <c r="E71" s="745" t="s">
        <v>727</v>
      </c>
      <c r="F71" s="746" t="s">
        <v>64</v>
      </c>
      <c r="G71" s="150"/>
      <c r="H71" s="305">
        <f>H72</f>
        <v>450</v>
      </c>
    </row>
    <row r="72" spans="1:8" ht="42" customHeight="1">
      <c r="A72" s="291"/>
      <c r="B72" s="164" t="s">
        <v>684</v>
      </c>
      <c r="C72" s="744" t="s">
        <v>59</v>
      </c>
      <c r="D72" s="745" t="s">
        <v>65</v>
      </c>
      <c r="E72" s="745" t="s">
        <v>727</v>
      </c>
      <c r="F72" s="746" t="s">
        <v>685</v>
      </c>
      <c r="G72" s="150"/>
      <c r="H72" s="305">
        <f>H73</f>
        <v>450</v>
      </c>
    </row>
    <row r="73" spans="1:8" ht="42" customHeight="1">
      <c r="A73" s="291"/>
      <c r="B73" s="164" t="s">
        <v>97</v>
      </c>
      <c r="C73" s="744" t="s">
        <v>59</v>
      </c>
      <c r="D73" s="745" t="s">
        <v>65</v>
      </c>
      <c r="E73" s="745" t="s">
        <v>727</v>
      </c>
      <c r="F73" s="746" t="s">
        <v>685</v>
      </c>
      <c r="G73" s="150" t="s">
        <v>98</v>
      </c>
      <c r="H73" s="305">
        <f>'прил12(ведом 21)'!M388+'прил12(ведом 21)'!M436</f>
        <v>450</v>
      </c>
    </row>
    <row r="74" spans="1:8" ht="18.75">
      <c r="A74" s="291"/>
      <c r="B74" s="304" t="s">
        <v>232</v>
      </c>
      <c r="C74" s="744" t="s">
        <v>59</v>
      </c>
      <c r="D74" s="745" t="s">
        <v>110</v>
      </c>
      <c r="E74" s="745" t="s">
        <v>63</v>
      </c>
      <c r="F74" s="746" t="s">
        <v>64</v>
      </c>
      <c r="G74" s="289"/>
      <c r="H74" s="305">
        <f>H75+H93+H96</f>
        <v>58852.988000000005</v>
      </c>
    </row>
    <row r="75" spans="1:8" ht="37.5">
      <c r="A75" s="291"/>
      <c r="B75" s="304" t="s">
        <v>316</v>
      </c>
      <c r="C75" s="744" t="s">
        <v>59</v>
      </c>
      <c r="D75" s="745" t="s">
        <v>110</v>
      </c>
      <c r="E75" s="745" t="s">
        <v>57</v>
      </c>
      <c r="F75" s="746" t="s">
        <v>64</v>
      </c>
      <c r="G75" s="289"/>
      <c r="H75" s="305">
        <f>H76+H89+H81+H87+H91+H84</f>
        <v>58666.988000000005</v>
      </c>
    </row>
    <row r="76" spans="1:8" ht="37.5">
      <c r="A76" s="291"/>
      <c r="B76" s="304" t="s">
        <v>800</v>
      </c>
      <c r="C76" s="744" t="s">
        <v>59</v>
      </c>
      <c r="D76" s="745" t="s">
        <v>110</v>
      </c>
      <c r="E76" s="745" t="s">
        <v>57</v>
      </c>
      <c r="F76" s="746" t="s">
        <v>112</v>
      </c>
      <c r="G76" s="150"/>
      <c r="H76" s="305">
        <f>SUM(H77:H80)</f>
        <v>49091.888000000006</v>
      </c>
    </row>
    <row r="77" spans="1:8" ht="93.75">
      <c r="A77" s="291"/>
      <c r="B77" s="164" t="s">
        <v>69</v>
      </c>
      <c r="C77" s="744" t="s">
        <v>59</v>
      </c>
      <c r="D77" s="745" t="s">
        <v>110</v>
      </c>
      <c r="E77" s="745" t="s">
        <v>57</v>
      </c>
      <c r="F77" s="746" t="s">
        <v>112</v>
      </c>
      <c r="G77" s="150" t="s">
        <v>70</v>
      </c>
      <c r="H77" s="305">
        <f>'прил12(ведом 21)'!M447</f>
        <v>18947.600000000002</v>
      </c>
    </row>
    <row r="78" spans="1:8" ht="37.5">
      <c r="A78" s="291"/>
      <c r="B78" s="164" t="s">
        <v>75</v>
      </c>
      <c r="C78" s="744" t="s">
        <v>59</v>
      </c>
      <c r="D78" s="745" t="s">
        <v>110</v>
      </c>
      <c r="E78" s="745" t="s">
        <v>57</v>
      </c>
      <c r="F78" s="746" t="s">
        <v>112</v>
      </c>
      <c r="G78" s="150" t="s">
        <v>76</v>
      </c>
      <c r="H78" s="305">
        <f>'прил12(ведом 21)'!M448</f>
        <v>1547.2469999999998</v>
      </c>
    </row>
    <row r="79" spans="1:8" ht="38.25" customHeight="1">
      <c r="A79" s="291"/>
      <c r="B79" s="304" t="s">
        <v>97</v>
      </c>
      <c r="C79" s="744" t="s">
        <v>59</v>
      </c>
      <c r="D79" s="745" t="s">
        <v>110</v>
      </c>
      <c r="E79" s="745" t="s">
        <v>57</v>
      </c>
      <c r="F79" s="746" t="s">
        <v>112</v>
      </c>
      <c r="G79" s="150" t="s">
        <v>98</v>
      </c>
      <c r="H79" s="305">
        <f>'прил12(ведом 21)'!M449</f>
        <v>28545.596999999998</v>
      </c>
    </row>
    <row r="80" spans="1:8" ht="18.75">
      <c r="A80" s="291"/>
      <c r="B80" s="164" t="s">
        <v>77</v>
      </c>
      <c r="C80" s="744" t="s">
        <v>59</v>
      </c>
      <c r="D80" s="745" t="s">
        <v>110</v>
      </c>
      <c r="E80" s="745" t="s">
        <v>57</v>
      </c>
      <c r="F80" s="746" t="s">
        <v>112</v>
      </c>
      <c r="G80" s="150" t="s">
        <v>78</v>
      </c>
      <c r="H80" s="305">
        <f>'прил12(ведом 21)'!M450</f>
        <v>51.443999999999996</v>
      </c>
    </row>
    <row r="81" spans="1:8" ht="44.25" customHeight="1">
      <c r="A81" s="291"/>
      <c r="B81" s="164" t="s">
        <v>229</v>
      </c>
      <c r="C81" s="744" t="s">
        <v>59</v>
      </c>
      <c r="D81" s="745" t="s">
        <v>110</v>
      </c>
      <c r="E81" s="745" t="s">
        <v>57</v>
      </c>
      <c r="F81" s="746" t="s">
        <v>313</v>
      </c>
      <c r="G81" s="150"/>
      <c r="H81" s="305">
        <f>SUM(H82:H83)</f>
        <v>1150.7</v>
      </c>
    </row>
    <row r="82" spans="1:8" ht="37.5">
      <c r="A82" s="291"/>
      <c r="B82" s="164" t="s">
        <v>75</v>
      </c>
      <c r="C82" s="744" t="s">
        <v>59</v>
      </c>
      <c r="D82" s="745" t="s">
        <v>110</v>
      </c>
      <c r="E82" s="745" t="s">
        <v>57</v>
      </c>
      <c r="F82" s="746" t="s">
        <v>313</v>
      </c>
      <c r="G82" s="150" t="s">
        <v>76</v>
      </c>
      <c r="H82" s="305">
        <f>'прил12(ведом 21)'!M452</f>
        <v>463.20000000000005</v>
      </c>
    </row>
    <row r="83" spans="1:8" ht="42" customHeight="1">
      <c r="A83" s="291"/>
      <c r="B83" s="312" t="s">
        <v>97</v>
      </c>
      <c r="C83" s="744" t="s">
        <v>59</v>
      </c>
      <c r="D83" s="745" t="s">
        <v>110</v>
      </c>
      <c r="E83" s="745" t="s">
        <v>57</v>
      </c>
      <c r="F83" s="746" t="s">
        <v>313</v>
      </c>
      <c r="G83" s="150" t="s">
        <v>98</v>
      </c>
      <c r="H83" s="305">
        <f>'прил12(ведом 21)'!M453</f>
        <v>687.5</v>
      </c>
    </row>
    <row r="84" spans="1:8" ht="42" customHeight="1">
      <c r="A84" s="291"/>
      <c r="B84" s="164" t="s">
        <v>230</v>
      </c>
      <c r="C84" s="744" t="s">
        <v>59</v>
      </c>
      <c r="D84" s="745" t="s">
        <v>110</v>
      </c>
      <c r="E84" s="745" t="s">
        <v>57</v>
      </c>
      <c r="F84" s="746" t="s">
        <v>314</v>
      </c>
      <c r="G84" s="150"/>
      <c r="H84" s="305">
        <f>H85+H86</f>
        <v>317</v>
      </c>
    </row>
    <row r="85" spans="1:8" ht="42" customHeight="1">
      <c r="A85" s="291"/>
      <c r="B85" s="164" t="s">
        <v>75</v>
      </c>
      <c r="C85" s="744" t="s">
        <v>59</v>
      </c>
      <c r="D85" s="745" t="s">
        <v>110</v>
      </c>
      <c r="E85" s="745" t="s">
        <v>57</v>
      </c>
      <c r="F85" s="746" t="s">
        <v>314</v>
      </c>
      <c r="G85" s="150" t="s">
        <v>76</v>
      </c>
      <c r="H85" s="305">
        <f>'прил12(ведом 21)'!M455</f>
        <v>300</v>
      </c>
    </row>
    <row r="86" spans="1:8" ht="42" customHeight="1">
      <c r="A86" s="291"/>
      <c r="B86" s="312" t="s">
        <v>97</v>
      </c>
      <c r="C86" s="744" t="s">
        <v>59</v>
      </c>
      <c r="D86" s="745" t="s">
        <v>110</v>
      </c>
      <c r="E86" s="745" t="s">
        <v>57</v>
      </c>
      <c r="F86" s="746" t="s">
        <v>314</v>
      </c>
      <c r="G86" s="150" t="s">
        <v>98</v>
      </c>
      <c r="H86" s="305">
        <f>'прил12(ведом 21)'!M456</f>
        <v>17</v>
      </c>
    </row>
    <row r="87" spans="1:8" ht="171" customHeight="1">
      <c r="A87" s="291"/>
      <c r="B87" s="164" t="s">
        <v>696</v>
      </c>
      <c r="C87" s="744" t="s">
        <v>59</v>
      </c>
      <c r="D87" s="745" t="s">
        <v>110</v>
      </c>
      <c r="E87" s="745" t="s">
        <v>57</v>
      </c>
      <c r="F87" s="746" t="s">
        <v>538</v>
      </c>
      <c r="G87" s="150"/>
      <c r="H87" s="305">
        <f>H88</f>
        <v>124.7</v>
      </c>
    </row>
    <row r="88" spans="1:8" ht="93.75">
      <c r="A88" s="291"/>
      <c r="B88" s="164" t="s">
        <v>69</v>
      </c>
      <c r="C88" s="744" t="s">
        <v>59</v>
      </c>
      <c r="D88" s="745" t="s">
        <v>110</v>
      </c>
      <c r="E88" s="745" t="s">
        <v>57</v>
      </c>
      <c r="F88" s="746" t="s">
        <v>538</v>
      </c>
      <c r="G88" s="150" t="s">
        <v>70</v>
      </c>
      <c r="H88" s="305">
        <f>'прил12(ведом 21)'!M458</f>
        <v>124.7</v>
      </c>
    </row>
    <row r="89" spans="1:8" ht="18.75">
      <c r="A89" s="291"/>
      <c r="B89" s="304" t="s">
        <v>308</v>
      </c>
      <c r="C89" s="744" t="s">
        <v>59</v>
      </c>
      <c r="D89" s="745" t="s">
        <v>110</v>
      </c>
      <c r="E89" s="745" t="s">
        <v>57</v>
      </c>
      <c r="F89" s="746" t="s">
        <v>309</v>
      </c>
      <c r="G89" s="150"/>
      <c r="H89" s="305">
        <f>H90</f>
        <v>107.3</v>
      </c>
    </row>
    <row r="90" spans="1:8" ht="56.25">
      <c r="A90" s="291"/>
      <c r="B90" s="164" t="s">
        <v>97</v>
      </c>
      <c r="C90" s="744" t="s">
        <v>59</v>
      </c>
      <c r="D90" s="745" t="s">
        <v>110</v>
      </c>
      <c r="E90" s="745" t="s">
        <v>57</v>
      </c>
      <c r="F90" s="746" t="s">
        <v>309</v>
      </c>
      <c r="G90" s="150" t="s">
        <v>98</v>
      </c>
      <c r="H90" s="305">
        <f>'прил12(ведом 21)'!M460</f>
        <v>107.3</v>
      </c>
    </row>
    <row r="91" spans="1:8" ht="97.5" customHeight="1">
      <c r="A91" s="291"/>
      <c r="B91" s="164" t="s">
        <v>415</v>
      </c>
      <c r="C91" s="744" t="s">
        <v>59</v>
      </c>
      <c r="D91" s="745" t="s">
        <v>110</v>
      </c>
      <c r="E91" s="745" t="s">
        <v>57</v>
      </c>
      <c r="F91" s="746" t="s">
        <v>310</v>
      </c>
      <c r="G91" s="150"/>
      <c r="H91" s="305">
        <f>H92</f>
        <v>7875.4</v>
      </c>
    </row>
    <row r="92" spans="1:8" ht="41.25" customHeight="1">
      <c r="A92" s="291"/>
      <c r="B92" s="164" t="s">
        <v>97</v>
      </c>
      <c r="C92" s="744" t="s">
        <v>59</v>
      </c>
      <c r="D92" s="745" t="s">
        <v>110</v>
      </c>
      <c r="E92" s="745" t="s">
        <v>57</v>
      </c>
      <c r="F92" s="746" t="s">
        <v>310</v>
      </c>
      <c r="G92" s="150" t="s">
        <v>98</v>
      </c>
      <c r="H92" s="305">
        <f>'прил12(ведом 21)'!M462</f>
        <v>7875.4</v>
      </c>
    </row>
    <row r="93" spans="1:8" ht="18.75">
      <c r="A93" s="291"/>
      <c r="B93" s="164" t="s">
        <v>317</v>
      </c>
      <c r="C93" s="744" t="s">
        <v>59</v>
      </c>
      <c r="D93" s="745" t="s">
        <v>110</v>
      </c>
      <c r="E93" s="745" t="s">
        <v>59</v>
      </c>
      <c r="F93" s="746" t="s">
        <v>64</v>
      </c>
      <c r="G93" s="150"/>
      <c r="H93" s="305">
        <f>H94</f>
        <v>36</v>
      </c>
    </row>
    <row r="94" spans="1:8" ht="37.5">
      <c r="A94" s="291"/>
      <c r="B94" s="164" t="s">
        <v>318</v>
      </c>
      <c r="C94" s="744" t="s">
        <v>59</v>
      </c>
      <c r="D94" s="745" t="s">
        <v>110</v>
      </c>
      <c r="E94" s="745" t="s">
        <v>59</v>
      </c>
      <c r="F94" s="746" t="s">
        <v>319</v>
      </c>
      <c r="G94" s="150"/>
      <c r="H94" s="305">
        <f>H95</f>
        <v>36</v>
      </c>
    </row>
    <row r="95" spans="1:8" ht="20.25" customHeight="1">
      <c r="A95" s="291"/>
      <c r="B95" s="164" t="s">
        <v>141</v>
      </c>
      <c r="C95" s="744" t="s">
        <v>59</v>
      </c>
      <c r="D95" s="745" t="s">
        <v>110</v>
      </c>
      <c r="E95" s="745" t="s">
        <v>59</v>
      </c>
      <c r="F95" s="746" t="s">
        <v>319</v>
      </c>
      <c r="G95" s="150" t="s">
        <v>142</v>
      </c>
      <c r="H95" s="305">
        <f>'прил12(ведом 21)'!M479</f>
        <v>36</v>
      </c>
    </row>
    <row r="96" spans="1:8" ht="36" customHeight="1">
      <c r="A96" s="291"/>
      <c r="B96" s="164" t="s">
        <v>728</v>
      </c>
      <c r="C96" s="744" t="s">
        <v>59</v>
      </c>
      <c r="D96" s="745" t="s">
        <v>110</v>
      </c>
      <c r="E96" s="745" t="s">
        <v>727</v>
      </c>
      <c r="F96" s="746" t="s">
        <v>64</v>
      </c>
      <c r="G96" s="150"/>
      <c r="H96" s="305">
        <f>H97</f>
        <v>150</v>
      </c>
    </row>
    <row r="97" spans="1:8" ht="38.25" customHeight="1">
      <c r="A97" s="291"/>
      <c r="B97" s="164" t="s">
        <v>684</v>
      </c>
      <c r="C97" s="744" t="s">
        <v>59</v>
      </c>
      <c r="D97" s="745" t="s">
        <v>110</v>
      </c>
      <c r="E97" s="745" t="s">
        <v>727</v>
      </c>
      <c r="F97" s="746" t="s">
        <v>685</v>
      </c>
      <c r="G97" s="150"/>
      <c r="H97" s="305">
        <f>H98</f>
        <v>150</v>
      </c>
    </row>
    <row r="98" spans="1:8" ht="43.5" customHeight="1">
      <c r="A98" s="291"/>
      <c r="B98" s="164" t="s">
        <v>97</v>
      </c>
      <c r="C98" s="744" t="s">
        <v>59</v>
      </c>
      <c r="D98" s="745" t="s">
        <v>110</v>
      </c>
      <c r="E98" s="745" t="s">
        <v>727</v>
      </c>
      <c r="F98" s="746" t="s">
        <v>685</v>
      </c>
      <c r="G98" s="150" t="s">
        <v>98</v>
      </c>
      <c r="H98" s="305">
        <f>'прил12(ведом 21)'!M465</f>
        <v>150</v>
      </c>
    </row>
    <row r="99" spans="1:8" ht="43.5" customHeight="1">
      <c r="A99" s="291"/>
      <c r="B99" s="304" t="s">
        <v>234</v>
      </c>
      <c r="C99" s="744" t="s">
        <v>59</v>
      </c>
      <c r="D99" s="745" t="s">
        <v>50</v>
      </c>
      <c r="E99" s="745" t="s">
        <v>63</v>
      </c>
      <c r="F99" s="746" t="s">
        <v>64</v>
      </c>
      <c r="G99" s="289"/>
      <c r="H99" s="305">
        <f>H100+H120+H125+H128+H131</f>
        <v>72255.871999999988</v>
      </c>
    </row>
    <row r="100" spans="1:8" ht="37.5">
      <c r="A100" s="291"/>
      <c r="B100" s="304" t="s">
        <v>322</v>
      </c>
      <c r="C100" s="744" t="s">
        <v>59</v>
      </c>
      <c r="D100" s="745" t="s">
        <v>50</v>
      </c>
      <c r="E100" s="745" t="s">
        <v>57</v>
      </c>
      <c r="F100" s="746" t="s">
        <v>64</v>
      </c>
      <c r="G100" s="289"/>
      <c r="H100" s="305">
        <f>H101+H110+H105+H117+H114+H112</f>
        <v>64712.471999999994</v>
      </c>
    </row>
    <row r="101" spans="1:8" ht="37.5">
      <c r="A101" s="291"/>
      <c r="B101" s="304" t="s">
        <v>67</v>
      </c>
      <c r="C101" s="744" t="s">
        <v>59</v>
      </c>
      <c r="D101" s="745" t="s">
        <v>50</v>
      </c>
      <c r="E101" s="745" t="s">
        <v>57</v>
      </c>
      <c r="F101" s="746" t="s">
        <v>68</v>
      </c>
      <c r="G101" s="150"/>
      <c r="H101" s="305">
        <f>SUM(H102:H104)</f>
        <v>9957.866</v>
      </c>
    </row>
    <row r="102" spans="1:8" ht="93.75">
      <c r="A102" s="291"/>
      <c r="B102" s="304" t="s">
        <v>69</v>
      </c>
      <c r="C102" s="744" t="s">
        <v>59</v>
      </c>
      <c r="D102" s="745" t="s">
        <v>50</v>
      </c>
      <c r="E102" s="745" t="s">
        <v>57</v>
      </c>
      <c r="F102" s="746" t="s">
        <v>68</v>
      </c>
      <c r="G102" s="150" t="s">
        <v>70</v>
      </c>
      <c r="H102" s="305">
        <f>'прил12(ведом 21)'!M483</f>
        <v>9265.9</v>
      </c>
    </row>
    <row r="103" spans="1:8" ht="37.5">
      <c r="A103" s="291"/>
      <c r="B103" s="304" t="s">
        <v>75</v>
      </c>
      <c r="C103" s="744" t="s">
        <v>59</v>
      </c>
      <c r="D103" s="745" t="s">
        <v>50</v>
      </c>
      <c r="E103" s="745" t="s">
        <v>57</v>
      </c>
      <c r="F103" s="746" t="s">
        <v>68</v>
      </c>
      <c r="G103" s="150" t="s">
        <v>76</v>
      </c>
      <c r="H103" s="305">
        <f>'прил12(ведом 21)'!M484</f>
        <v>674.76600000000008</v>
      </c>
    </row>
    <row r="104" spans="1:8" ht="18.75">
      <c r="A104" s="291"/>
      <c r="B104" s="304" t="s">
        <v>77</v>
      </c>
      <c r="C104" s="744" t="s">
        <v>59</v>
      </c>
      <c r="D104" s="745" t="s">
        <v>50</v>
      </c>
      <c r="E104" s="745" t="s">
        <v>57</v>
      </c>
      <c r="F104" s="746" t="s">
        <v>68</v>
      </c>
      <c r="G104" s="150" t="s">
        <v>78</v>
      </c>
      <c r="H104" s="305">
        <f>'прил12(ведом 21)'!M485</f>
        <v>17.2</v>
      </c>
    </row>
    <row r="105" spans="1:8" ht="37.5">
      <c r="A105" s="291"/>
      <c r="B105" s="304" t="s">
        <v>800</v>
      </c>
      <c r="C105" s="744" t="s">
        <v>59</v>
      </c>
      <c r="D105" s="745" t="s">
        <v>50</v>
      </c>
      <c r="E105" s="745" t="s">
        <v>57</v>
      </c>
      <c r="F105" s="746" t="s">
        <v>112</v>
      </c>
      <c r="G105" s="150"/>
      <c r="H105" s="305">
        <f>SUM(H106:H109)</f>
        <v>46129.405999999995</v>
      </c>
    </row>
    <row r="106" spans="1:8" ht="93.75">
      <c r="A106" s="291"/>
      <c r="B106" s="304" t="s">
        <v>69</v>
      </c>
      <c r="C106" s="744" t="s">
        <v>59</v>
      </c>
      <c r="D106" s="745" t="s">
        <v>50</v>
      </c>
      <c r="E106" s="745" t="s">
        <v>57</v>
      </c>
      <c r="F106" s="746" t="s">
        <v>112</v>
      </c>
      <c r="G106" s="150" t="s">
        <v>70</v>
      </c>
      <c r="H106" s="305">
        <f>'прил12(ведом 21)'!M487</f>
        <v>27266.3</v>
      </c>
    </row>
    <row r="107" spans="1:8" ht="37.5">
      <c r="A107" s="291"/>
      <c r="B107" s="304" t="s">
        <v>75</v>
      </c>
      <c r="C107" s="744" t="s">
        <v>59</v>
      </c>
      <c r="D107" s="745" t="s">
        <v>50</v>
      </c>
      <c r="E107" s="745" t="s">
        <v>57</v>
      </c>
      <c r="F107" s="746" t="s">
        <v>112</v>
      </c>
      <c r="G107" s="150" t="s">
        <v>76</v>
      </c>
      <c r="H107" s="305">
        <f>'прил12(ведом 21)'!M488</f>
        <v>2469.9059999999999</v>
      </c>
    </row>
    <row r="108" spans="1:8" ht="44.25" customHeight="1">
      <c r="A108" s="291"/>
      <c r="B108" s="164" t="s">
        <v>97</v>
      </c>
      <c r="C108" s="744" t="s">
        <v>59</v>
      </c>
      <c r="D108" s="745" t="s">
        <v>50</v>
      </c>
      <c r="E108" s="745" t="s">
        <v>57</v>
      </c>
      <c r="F108" s="746" t="s">
        <v>112</v>
      </c>
      <c r="G108" s="150" t="s">
        <v>98</v>
      </c>
      <c r="H108" s="305">
        <f>'прил12(ведом 21)'!M489</f>
        <v>16385</v>
      </c>
    </row>
    <row r="109" spans="1:8" ht="18.75">
      <c r="A109" s="291"/>
      <c r="B109" s="304" t="s">
        <v>77</v>
      </c>
      <c r="C109" s="744" t="s">
        <v>59</v>
      </c>
      <c r="D109" s="745" t="s">
        <v>50</v>
      </c>
      <c r="E109" s="745" t="s">
        <v>57</v>
      </c>
      <c r="F109" s="746" t="s">
        <v>112</v>
      </c>
      <c r="G109" s="150" t="s">
        <v>78</v>
      </c>
      <c r="H109" s="305">
        <f>'прил12(ведом 21)'!M490</f>
        <v>8.1999999999999993</v>
      </c>
    </row>
    <row r="110" spans="1:8" ht="18.75">
      <c r="A110" s="291"/>
      <c r="B110" s="164" t="s">
        <v>801</v>
      </c>
      <c r="C110" s="744" t="s">
        <v>59</v>
      </c>
      <c r="D110" s="745" t="s">
        <v>50</v>
      </c>
      <c r="E110" s="745" t="s">
        <v>57</v>
      </c>
      <c r="F110" s="746" t="s">
        <v>479</v>
      </c>
      <c r="G110" s="150"/>
      <c r="H110" s="305">
        <f>H111</f>
        <v>67.3</v>
      </c>
    </row>
    <row r="111" spans="1:8" ht="37.5">
      <c r="A111" s="291"/>
      <c r="B111" s="164" t="s">
        <v>75</v>
      </c>
      <c r="C111" s="744" t="s">
        <v>59</v>
      </c>
      <c r="D111" s="745" t="s">
        <v>50</v>
      </c>
      <c r="E111" s="745" t="s">
        <v>57</v>
      </c>
      <c r="F111" s="746" t="s">
        <v>479</v>
      </c>
      <c r="G111" s="150" t="s">
        <v>76</v>
      </c>
      <c r="H111" s="305">
        <f>'прил12(ведом 21)'!M492</f>
        <v>67.3</v>
      </c>
    </row>
    <row r="112" spans="1:8" ht="37.5">
      <c r="A112" s="291"/>
      <c r="B112" s="164" t="s">
        <v>230</v>
      </c>
      <c r="C112" s="744" t="s">
        <v>59</v>
      </c>
      <c r="D112" s="745" t="s">
        <v>50</v>
      </c>
      <c r="E112" s="745" t="s">
        <v>57</v>
      </c>
      <c r="F112" s="746" t="s">
        <v>314</v>
      </c>
      <c r="G112" s="150"/>
      <c r="H112" s="305">
        <f>H113</f>
        <v>10</v>
      </c>
    </row>
    <row r="113" spans="1:8" ht="37.5">
      <c r="A113" s="291"/>
      <c r="B113" s="164" t="s">
        <v>75</v>
      </c>
      <c r="C113" s="744" t="s">
        <v>59</v>
      </c>
      <c r="D113" s="745" t="s">
        <v>50</v>
      </c>
      <c r="E113" s="745" t="s">
        <v>57</v>
      </c>
      <c r="F113" s="746" t="s">
        <v>314</v>
      </c>
      <c r="G113" s="150" t="s">
        <v>76</v>
      </c>
      <c r="H113" s="305">
        <f>'прил12(ведом 21)'!M494</f>
        <v>10</v>
      </c>
    </row>
    <row r="114" spans="1:8" ht="96.75" customHeight="1">
      <c r="A114" s="291"/>
      <c r="B114" s="164" t="s">
        <v>415</v>
      </c>
      <c r="C114" s="744" t="s">
        <v>59</v>
      </c>
      <c r="D114" s="745" t="s">
        <v>50</v>
      </c>
      <c r="E114" s="745" t="s">
        <v>57</v>
      </c>
      <c r="F114" s="746" t="s">
        <v>310</v>
      </c>
      <c r="G114" s="150"/>
      <c r="H114" s="305">
        <f>H115+H116</f>
        <v>6189.9</v>
      </c>
    </row>
    <row r="115" spans="1:8" ht="93.75">
      <c r="A115" s="291"/>
      <c r="B115" s="164" t="s">
        <v>69</v>
      </c>
      <c r="C115" s="744" t="s">
        <v>59</v>
      </c>
      <c r="D115" s="745" t="s">
        <v>50</v>
      </c>
      <c r="E115" s="745" t="s">
        <v>57</v>
      </c>
      <c r="F115" s="746" t="s">
        <v>310</v>
      </c>
      <c r="G115" s="150" t="s">
        <v>70</v>
      </c>
      <c r="H115" s="305">
        <f>'прил12(ведом 21)'!M496</f>
        <v>5863.4</v>
      </c>
    </row>
    <row r="116" spans="1:8" ht="37.5">
      <c r="A116" s="291"/>
      <c r="B116" s="304" t="s">
        <v>75</v>
      </c>
      <c r="C116" s="744" t="s">
        <v>59</v>
      </c>
      <c r="D116" s="745" t="s">
        <v>50</v>
      </c>
      <c r="E116" s="745" t="s">
        <v>57</v>
      </c>
      <c r="F116" s="746" t="s">
        <v>310</v>
      </c>
      <c r="G116" s="150" t="s">
        <v>76</v>
      </c>
      <c r="H116" s="305">
        <f>'прил12(ведом 21)'!M497</f>
        <v>326.5</v>
      </c>
    </row>
    <row r="117" spans="1:8" ht="18.75">
      <c r="A117" s="291"/>
      <c r="B117" s="164" t="s">
        <v>695</v>
      </c>
      <c r="C117" s="744" t="s">
        <v>59</v>
      </c>
      <c r="D117" s="745" t="s">
        <v>50</v>
      </c>
      <c r="E117" s="745" t="s">
        <v>57</v>
      </c>
      <c r="F117" s="746" t="s">
        <v>416</v>
      </c>
      <c r="G117" s="150"/>
      <c r="H117" s="305">
        <f>SUM(H118:H119)</f>
        <v>2358</v>
      </c>
    </row>
    <row r="118" spans="1:8" ht="93.75">
      <c r="A118" s="291"/>
      <c r="B118" s="164" t="s">
        <v>69</v>
      </c>
      <c r="C118" s="744" t="s">
        <v>59</v>
      </c>
      <c r="D118" s="745" t="s">
        <v>50</v>
      </c>
      <c r="E118" s="745" t="s">
        <v>57</v>
      </c>
      <c r="F118" s="746" t="s">
        <v>416</v>
      </c>
      <c r="G118" s="150" t="s">
        <v>70</v>
      </c>
      <c r="H118" s="305">
        <f>'прил12(ведом 21)'!M440</f>
        <v>29.8</v>
      </c>
    </row>
    <row r="119" spans="1:8" ht="42.75" customHeight="1">
      <c r="A119" s="291"/>
      <c r="B119" s="304" t="s">
        <v>97</v>
      </c>
      <c r="C119" s="744" t="s">
        <v>59</v>
      </c>
      <c r="D119" s="745" t="s">
        <v>50</v>
      </c>
      <c r="E119" s="745" t="s">
        <v>57</v>
      </c>
      <c r="F119" s="746" t="s">
        <v>416</v>
      </c>
      <c r="G119" s="150" t="s">
        <v>98</v>
      </c>
      <c r="H119" s="305">
        <f>'прил12(ведом 21)'!M441</f>
        <v>2328.1999999999998</v>
      </c>
    </row>
    <row r="120" spans="1:8" ht="42.75" customHeight="1">
      <c r="A120" s="291"/>
      <c r="B120" s="164" t="s">
        <v>321</v>
      </c>
      <c r="C120" s="744" t="s">
        <v>59</v>
      </c>
      <c r="D120" s="745" t="s">
        <v>50</v>
      </c>
      <c r="E120" s="745" t="s">
        <v>59</v>
      </c>
      <c r="F120" s="746" t="s">
        <v>64</v>
      </c>
      <c r="G120" s="150"/>
      <c r="H120" s="305">
        <f>H121+H123</f>
        <v>7252.7999999999993</v>
      </c>
    </row>
    <row r="121" spans="1:8" ht="42.75" customHeight="1">
      <c r="A121" s="291"/>
      <c r="B121" s="164" t="s">
        <v>817</v>
      </c>
      <c r="C121" s="744" t="s">
        <v>59</v>
      </c>
      <c r="D121" s="745" t="s">
        <v>50</v>
      </c>
      <c r="E121" s="745" t="s">
        <v>59</v>
      </c>
      <c r="F121" s="746" t="s">
        <v>816</v>
      </c>
      <c r="G121" s="150"/>
      <c r="H121" s="305">
        <f>H122</f>
        <v>502.9</v>
      </c>
    </row>
    <row r="122" spans="1:8" ht="42.75" customHeight="1">
      <c r="A122" s="291"/>
      <c r="B122" s="164" t="s">
        <v>97</v>
      </c>
      <c r="C122" s="744" t="s">
        <v>59</v>
      </c>
      <c r="D122" s="745" t="s">
        <v>50</v>
      </c>
      <c r="E122" s="745" t="s">
        <v>59</v>
      </c>
      <c r="F122" s="746" t="s">
        <v>816</v>
      </c>
      <c r="G122" s="150" t="s">
        <v>98</v>
      </c>
      <c r="H122" s="305">
        <f>'прил12(ведом 21)'!M471</f>
        <v>502.9</v>
      </c>
    </row>
    <row r="123" spans="1:8" ht="113.25" customHeight="1">
      <c r="A123" s="291"/>
      <c r="B123" s="164" t="s">
        <v>737</v>
      </c>
      <c r="C123" s="744" t="s">
        <v>59</v>
      </c>
      <c r="D123" s="745" t="s">
        <v>50</v>
      </c>
      <c r="E123" s="745" t="s">
        <v>59</v>
      </c>
      <c r="F123" s="746" t="s">
        <v>736</v>
      </c>
      <c r="G123" s="150"/>
      <c r="H123" s="305">
        <f>H124</f>
        <v>6749.9</v>
      </c>
    </row>
    <row r="124" spans="1:8" ht="34.5" customHeight="1">
      <c r="A124" s="291"/>
      <c r="B124" s="164" t="s">
        <v>97</v>
      </c>
      <c r="C124" s="744" t="s">
        <v>59</v>
      </c>
      <c r="D124" s="745" t="s">
        <v>50</v>
      </c>
      <c r="E124" s="745" t="s">
        <v>59</v>
      </c>
      <c r="F124" s="746" t="s">
        <v>736</v>
      </c>
      <c r="G124" s="150" t="s">
        <v>98</v>
      </c>
      <c r="H124" s="305">
        <f>'прил12(ведом 21)'!M473</f>
        <v>6749.9</v>
      </c>
    </row>
    <row r="125" spans="1:8" ht="39" customHeight="1">
      <c r="A125" s="291"/>
      <c r="B125" s="655" t="s">
        <v>428</v>
      </c>
      <c r="C125" s="656" t="s">
        <v>59</v>
      </c>
      <c r="D125" s="657" t="s">
        <v>50</v>
      </c>
      <c r="E125" s="657" t="s">
        <v>84</v>
      </c>
      <c r="F125" s="658" t="s">
        <v>64</v>
      </c>
      <c r="G125" s="659"/>
      <c r="H125" s="305">
        <f>H126</f>
        <v>162.19999999999999</v>
      </c>
    </row>
    <row r="126" spans="1:8" ht="59.25" customHeight="1">
      <c r="A126" s="291"/>
      <c r="B126" s="622" t="s">
        <v>821</v>
      </c>
      <c r="C126" s="656" t="s">
        <v>59</v>
      </c>
      <c r="D126" s="657" t="s">
        <v>50</v>
      </c>
      <c r="E126" s="657" t="s">
        <v>84</v>
      </c>
      <c r="F126" s="658" t="s">
        <v>126</v>
      </c>
      <c r="G126" s="659"/>
      <c r="H126" s="305">
        <f>H127</f>
        <v>162.19999999999999</v>
      </c>
    </row>
    <row r="127" spans="1:8" ht="36" customHeight="1">
      <c r="A127" s="291"/>
      <c r="B127" s="622" t="s">
        <v>75</v>
      </c>
      <c r="C127" s="656" t="s">
        <v>59</v>
      </c>
      <c r="D127" s="657" t="s">
        <v>50</v>
      </c>
      <c r="E127" s="657" t="s">
        <v>84</v>
      </c>
      <c r="F127" s="658" t="s">
        <v>126</v>
      </c>
      <c r="G127" s="659" t="s">
        <v>76</v>
      </c>
      <c r="H127" s="305">
        <f>'прил12(ведом 21)'!M362</f>
        <v>162.19999999999999</v>
      </c>
    </row>
    <row r="128" spans="1:8" ht="34.5" customHeight="1">
      <c r="A128" s="291"/>
      <c r="B128" s="622" t="s">
        <v>804</v>
      </c>
      <c r="C128" s="656" t="s">
        <v>59</v>
      </c>
      <c r="D128" s="657" t="s">
        <v>50</v>
      </c>
      <c r="E128" s="657" t="s">
        <v>72</v>
      </c>
      <c r="F128" s="658" t="s">
        <v>64</v>
      </c>
      <c r="G128" s="659"/>
      <c r="H128" s="305">
        <f>H129</f>
        <v>25</v>
      </c>
    </row>
    <row r="129" spans="1:8" ht="15.75" customHeight="1">
      <c r="A129" s="291"/>
      <c r="B129" s="622" t="s">
        <v>822</v>
      </c>
      <c r="C129" s="656" t="s">
        <v>59</v>
      </c>
      <c r="D129" s="657" t="s">
        <v>50</v>
      </c>
      <c r="E129" s="657" t="s">
        <v>72</v>
      </c>
      <c r="F129" s="658" t="s">
        <v>803</v>
      </c>
      <c r="G129" s="659"/>
      <c r="H129" s="305">
        <f>H130</f>
        <v>25</v>
      </c>
    </row>
    <row r="130" spans="1:8" ht="34.5" customHeight="1">
      <c r="A130" s="291"/>
      <c r="B130" s="622" t="s">
        <v>75</v>
      </c>
      <c r="C130" s="656" t="s">
        <v>59</v>
      </c>
      <c r="D130" s="657" t="s">
        <v>50</v>
      </c>
      <c r="E130" s="657" t="s">
        <v>72</v>
      </c>
      <c r="F130" s="658" t="s">
        <v>803</v>
      </c>
      <c r="G130" s="659" t="s">
        <v>76</v>
      </c>
      <c r="H130" s="305">
        <f>'прил12(ведом 21)'!M365</f>
        <v>25</v>
      </c>
    </row>
    <row r="131" spans="1:8" ht="36.75" customHeight="1">
      <c r="A131" s="291"/>
      <c r="B131" s="622" t="s">
        <v>818</v>
      </c>
      <c r="C131" s="656" t="s">
        <v>59</v>
      </c>
      <c r="D131" s="657" t="s">
        <v>50</v>
      </c>
      <c r="E131" s="657" t="s">
        <v>86</v>
      </c>
      <c r="F131" s="740" t="s">
        <v>64</v>
      </c>
      <c r="G131" s="289"/>
      <c r="H131" s="305">
        <f>H132</f>
        <v>103.4</v>
      </c>
    </row>
    <row r="132" spans="1:8" ht="33" customHeight="1">
      <c r="A132" s="291"/>
      <c r="B132" s="622" t="s">
        <v>148</v>
      </c>
      <c r="C132" s="656" t="s">
        <v>59</v>
      </c>
      <c r="D132" s="657" t="s">
        <v>50</v>
      </c>
      <c r="E132" s="657" t="s">
        <v>86</v>
      </c>
      <c r="F132" s="740" t="s">
        <v>111</v>
      </c>
      <c r="G132" s="289"/>
      <c r="H132" s="305">
        <f>H133</f>
        <v>103.4</v>
      </c>
    </row>
    <row r="133" spans="1:8" ht="33.75" customHeight="1">
      <c r="A133" s="291"/>
      <c r="B133" s="622" t="s">
        <v>75</v>
      </c>
      <c r="C133" s="656" t="s">
        <v>59</v>
      </c>
      <c r="D133" s="657" t="s">
        <v>50</v>
      </c>
      <c r="E133" s="657" t="s">
        <v>86</v>
      </c>
      <c r="F133" s="740" t="s">
        <v>111</v>
      </c>
      <c r="G133" s="289" t="s">
        <v>76</v>
      </c>
      <c r="H133" s="305">
        <f>'прил12(ведом 21)'!M368</f>
        <v>103.4</v>
      </c>
    </row>
    <row r="134" spans="1:8" ht="19.5" customHeight="1">
      <c r="A134" s="291"/>
      <c r="B134" s="313"/>
      <c r="C134" s="738"/>
      <c r="D134" s="739"/>
      <c r="E134" s="739"/>
      <c r="F134" s="740"/>
      <c r="G134" s="289"/>
      <c r="H134" s="305"/>
    </row>
    <row r="135" spans="1:8" s="303" customFormat="1" ht="56.25">
      <c r="A135" s="314">
        <v>2</v>
      </c>
      <c r="B135" s="298" t="s">
        <v>235</v>
      </c>
      <c r="C135" s="315" t="s">
        <v>84</v>
      </c>
      <c r="D135" s="315" t="s">
        <v>62</v>
      </c>
      <c r="E135" s="315" t="s">
        <v>63</v>
      </c>
      <c r="F135" s="316" t="s">
        <v>64</v>
      </c>
      <c r="G135" s="301"/>
      <c r="H135" s="302">
        <f>H136+H162+H169</f>
        <v>91857.8</v>
      </c>
    </row>
    <row r="136" spans="1:8" s="303" customFormat="1" ht="56.25">
      <c r="A136" s="291"/>
      <c r="B136" s="317" t="s">
        <v>236</v>
      </c>
      <c r="C136" s="744" t="s">
        <v>84</v>
      </c>
      <c r="D136" s="745" t="s">
        <v>65</v>
      </c>
      <c r="E136" s="745" t="s">
        <v>63</v>
      </c>
      <c r="F136" s="746" t="s">
        <v>64</v>
      </c>
      <c r="G136" s="289"/>
      <c r="H136" s="305">
        <f>H137+H144+H147+H154+H159</f>
        <v>81419.3</v>
      </c>
    </row>
    <row r="137" spans="1:8" s="303" customFormat="1" ht="34.15" customHeight="1">
      <c r="A137" s="291"/>
      <c r="B137" s="317" t="s">
        <v>316</v>
      </c>
      <c r="C137" s="744" t="s">
        <v>84</v>
      </c>
      <c r="D137" s="745" t="s">
        <v>65</v>
      </c>
      <c r="E137" s="745" t="s">
        <v>57</v>
      </c>
      <c r="F137" s="746" t="s">
        <v>64</v>
      </c>
      <c r="G137" s="289"/>
      <c r="H137" s="305">
        <f>H138+H142+H140</f>
        <v>56272.1</v>
      </c>
    </row>
    <row r="138" spans="1:8" s="303" customFormat="1" ht="37.5">
      <c r="A138" s="291"/>
      <c r="B138" s="304" t="s">
        <v>800</v>
      </c>
      <c r="C138" s="744" t="s">
        <v>84</v>
      </c>
      <c r="D138" s="745" t="s">
        <v>65</v>
      </c>
      <c r="E138" s="745" t="s">
        <v>57</v>
      </c>
      <c r="F138" s="746" t="s">
        <v>112</v>
      </c>
      <c r="G138" s="150"/>
      <c r="H138" s="305">
        <f>H139</f>
        <v>54070.9</v>
      </c>
    </row>
    <row r="139" spans="1:8" s="303" customFormat="1" ht="44.25" customHeight="1">
      <c r="A139" s="291"/>
      <c r="B139" s="306" t="s">
        <v>97</v>
      </c>
      <c r="C139" s="744" t="s">
        <v>84</v>
      </c>
      <c r="D139" s="745" t="s">
        <v>65</v>
      </c>
      <c r="E139" s="745" t="s">
        <v>57</v>
      </c>
      <c r="F139" s="746" t="s">
        <v>112</v>
      </c>
      <c r="G139" s="150" t="s">
        <v>98</v>
      </c>
      <c r="H139" s="305">
        <f>'прил12(ведом 21)'!M521</f>
        <v>54070.9</v>
      </c>
    </row>
    <row r="140" spans="1:8" s="303" customFormat="1" ht="20.25" customHeight="1">
      <c r="A140" s="291"/>
      <c r="B140" s="168" t="s">
        <v>801</v>
      </c>
      <c r="C140" s="744" t="s">
        <v>84</v>
      </c>
      <c r="D140" s="745" t="s">
        <v>65</v>
      </c>
      <c r="E140" s="745" t="s">
        <v>57</v>
      </c>
      <c r="F140" s="746" t="s">
        <v>479</v>
      </c>
      <c r="G140" s="150"/>
      <c r="H140" s="305">
        <f>H141</f>
        <v>337.2</v>
      </c>
    </row>
    <row r="141" spans="1:8" s="303" customFormat="1" ht="44.25" customHeight="1">
      <c r="A141" s="291"/>
      <c r="B141" s="168" t="s">
        <v>97</v>
      </c>
      <c r="C141" s="744" t="s">
        <v>84</v>
      </c>
      <c r="D141" s="745" t="s">
        <v>65</v>
      </c>
      <c r="E141" s="745" t="s">
        <v>57</v>
      </c>
      <c r="F141" s="746" t="s">
        <v>479</v>
      </c>
      <c r="G141" s="150" t="s">
        <v>98</v>
      </c>
      <c r="H141" s="305">
        <f>'прил12(ведом 21)'!M523</f>
        <v>337.2</v>
      </c>
    </row>
    <row r="142" spans="1:8" s="303" customFormat="1" ht="44.25" customHeight="1">
      <c r="A142" s="291"/>
      <c r="B142" s="168" t="s">
        <v>378</v>
      </c>
      <c r="C142" s="744" t="s">
        <v>84</v>
      </c>
      <c r="D142" s="745" t="s">
        <v>65</v>
      </c>
      <c r="E142" s="745" t="s">
        <v>57</v>
      </c>
      <c r="F142" s="746" t="s">
        <v>379</v>
      </c>
      <c r="G142" s="150"/>
      <c r="H142" s="305">
        <f>H143</f>
        <v>1864</v>
      </c>
    </row>
    <row r="143" spans="1:8" s="303" customFormat="1" ht="44.25" customHeight="1">
      <c r="A143" s="291"/>
      <c r="B143" s="168" t="s">
        <v>97</v>
      </c>
      <c r="C143" s="744" t="s">
        <v>84</v>
      </c>
      <c r="D143" s="745" t="s">
        <v>65</v>
      </c>
      <c r="E143" s="745" t="s">
        <v>57</v>
      </c>
      <c r="F143" s="746" t="s">
        <v>379</v>
      </c>
      <c r="G143" s="150" t="s">
        <v>98</v>
      </c>
      <c r="H143" s="305">
        <f>'прил12(ведом 21)'!M525</f>
        <v>1864</v>
      </c>
    </row>
    <row r="144" spans="1:8" ht="18.75">
      <c r="A144" s="319"/>
      <c r="B144" s="306" t="s">
        <v>317</v>
      </c>
      <c r="C144" s="744" t="s">
        <v>84</v>
      </c>
      <c r="D144" s="745" t="s">
        <v>65</v>
      </c>
      <c r="E144" s="745" t="s">
        <v>59</v>
      </c>
      <c r="F144" s="746" t="s">
        <v>64</v>
      </c>
      <c r="G144" s="150"/>
      <c r="H144" s="320">
        <f>H145</f>
        <v>198</v>
      </c>
    </row>
    <row r="145" spans="1:8" s="303" customFormat="1" ht="37.5">
      <c r="A145" s="291"/>
      <c r="B145" s="306" t="s">
        <v>233</v>
      </c>
      <c r="C145" s="744" t="s">
        <v>84</v>
      </c>
      <c r="D145" s="745" t="s">
        <v>65</v>
      </c>
      <c r="E145" s="745" t="s">
        <v>59</v>
      </c>
      <c r="F145" s="746" t="s">
        <v>319</v>
      </c>
      <c r="G145" s="150"/>
      <c r="H145" s="305">
        <f>H146</f>
        <v>198</v>
      </c>
    </row>
    <row r="146" spans="1:8" s="303" customFormat="1" ht="27" customHeight="1">
      <c r="A146" s="291"/>
      <c r="B146" s="306" t="s">
        <v>141</v>
      </c>
      <c r="C146" s="744" t="s">
        <v>84</v>
      </c>
      <c r="D146" s="745" t="s">
        <v>65</v>
      </c>
      <c r="E146" s="745" t="s">
        <v>59</v>
      </c>
      <c r="F146" s="746" t="s">
        <v>319</v>
      </c>
      <c r="G146" s="150" t="s">
        <v>142</v>
      </c>
      <c r="H146" s="305">
        <f>'прил12(ведом 21)'!M537</f>
        <v>198</v>
      </c>
    </row>
    <row r="147" spans="1:8" s="303" customFormat="1" ht="18.75">
      <c r="A147" s="291"/>
      <c r="B147" s="304" t="s">
        <v>380</v>
      </c>
      <c r="C147" s="180" t="s">
        <v>84</v>
      </c>
      <c r="D147" s="321" t="s">
        <v>65</v>
      </c>
      <c r="E147" s="321" t="s">
        <v>84</v>
      </c>
      <c r="F147" s="322" t="s">
        <v>64</v>
      </c>
      <c r="G147" s="323"/>
      <c r="H147" s="305">
        <f>H148+H150+H152</f>
        <v>11861.2</v>
      </c>
    </row>
    <row r="148" spans="1:8" s="303" customFormat="1" ht="37.5">
      <c r="A148" s="291"/>
      <c r="B148" s="304" t="s">
        <v>800</v>
      </c>
      <c r="C148" s="180" t="s">
        <v>84</v>
      </c>
      <c r="D148" s="321" t="s">
        <v>65</v>
      </c>
      <c r="E148" s="321" t="s">
        <v>84</v>
      </c>
      <c r="F148" s="322" t="s">
        <v>112</v>
      </c>
      <c r="G148" s="323"/>
      <c r="H148" s="305">
        <f>H149</f>
        <v>11215.2</v>
      </c>
    </row>
    <row r="149" spans="1:8" s="303" customFormat="1" ht="44.25" customHeight="1">
      <c r="A149" s="291"/>
      <c r="B149" s="306" t="s">
        <v>97</v>
      </c>
      <c r="C149" s="744" t="s">
        <v>84</v>
      </c>
      <c r="D149" s="745" t="s">
        <v>65</v>
      </c>
      <c r="E149" s="745" t="s">
        <v>84</v>
      </c>
      <c r="F149" s="746" t="s">
        <v>112</v>
      </c>
      <c r="G149" s="150" t="s">
        <v>98</v>
      </c>
      <c r="H149" s="305">
        <f>'прил12(ведом 21)'!M544</f>
        <v>11215.2</v>
      </c>
    </row>
    <row r="150" spans="1:8" s="303" customFormat="1" ht="37.5">
      <c r="A150" s="291"/>
      <c r="B150" s="306" t="s">
        <v>378</v>
      </c>
      <c r="C150" s="180" t="s">
        <v>84</v>
      </c>
      <c r="D150" s="321" t="s">
        <v>65</v>
      </c>
      <c r="E150" s="321" t="s">
        <v>84</v>
      </c>
      <c r="F150" s="322" t="s">
        <v>379</v>
      </c>
      <c r="G150" s="323"/>
      <c r="H150" s="305">
        <f>H151</f>
        <v>205</v>
      </c>
    </row>
    <row r="151" spans="1:8" s="303" customFormat="1" ht="44.25" customHeight="1">
      <c r="A151" s="291"/>
      <c r="B151" s="306" t="s">
        <v>97</v>
      </c>
      <c r="C151" s="180" t="s">
        <v>84</v>
      </c>
      <c r="D151" s="321" t="s">
        <v>65</v>
      </c>
      <c r="E151" s="321" t="s">
        <v>84</v>
      </c>
      <c r="F151" s="322" t="s">
        <v>379</v>
      </c>
      <c r="G151" s="323" t="s">
        <v>98</v>
      </c>
      <c r="H151" s="305">
        <f>'прил12(ведом 21)'!M546</f>
        <v>205</v>
      </c>
    </row>
    <row r="152" spans="1:8" s="303" customFormat="1" ht="56.25">
      <c r="A152" s="291"/>
      <c r="B152" s="306" t="s">
        <v>237</v>
      </c>
      <c r="C152" s="744" t="s">
        <v>84</v>
      </c>
      <c r="D152" s="745" t="s">
        <v>65</v>
      </c>
      <c r="E152" s="745" t="s">
        <v>84</v>
      </c>
      <c r="F152" s="746" t="s">
        <v>381</v>
      </c>
      <c r="G152" s="150"/>
      <c r="H152" s="305">
        <f>H153</f>
        <v>441</v>
      </c>
    </row>
    <row r="153" spans="1:8" s="303" customFormat="1" ht="43.5" customHeight="1">
      <c r="A153" s="291"/>
      <c r="B153" s="306" t="s">
        <v>97</v>
      </c>
      <c r="C153" s="744" t="s">
        <v>84</v>
      </c>
      <c r="D153" s="745" t="s">
        <v>65</v>
      </c>
      <c r="E153" s="745" t="s">
        <v>84</v>
      </c>
      <c r="F153" s="746" t="s">
        <v>381</v>
      </c>
      <c r="G153" s="150" t="s">
        <v>98</v>
      </c>
      <c r="H153" s="305">
        <f>'прил12(ведом 21)'!M548</f>
        <v>441</v>
      </c>
    </row>
    <row r="154" spans="1:8" s="303" customFormat="1" ht="37.5">
      <c r="A154" s="291"/>
      <c r="B154" s="306" t="s">
        <v>382</v>
      </c>
      <c r="C154" s="180" t="s">
        <v>84</v>
      </c>
      <c r="D154" s="321" t="s">
        <v>65</v>
      </c>
      <c r="E154" s="321" t="s">
        <v>72</v>
      </c>
      <c r="F154" s="746" t="s">
        <v>64</v>
      </c>
      <c r="G154" s="150"/>
      <c r="H154" s="305">
        <f>H155</f>
        <v>12810.1</v>
      </c>
    </row>
    <row r="155" spans="1:8" s="303" customFormat="1" ht="37.5">
      <c r="A155" s="291"/>
      <c r="B155" s="304" t="s">
        <v>800</v>
      </c>
      <c r="C155" s="180" t="s">
        <v>84</v>
      </c>
      <c r="D155" s="321" t="s">
        <v>65</v>
      </c>
      <c r="E155" s="321" t="s">
        <v>72</v>
      </c>
      <c r="F155" s="322" t="s">
        <v>112</v>
      </c>
      <c r="G155" s="323"/>
      <c r="H155" s="305">
        <f>SUM(H156:H158)</f>
        <v>12810.1</v>
      </c>
    </row>
    <row r="156" spans="1:8" s="303" customFormat="1" ht="93.75">
      <c r="A156" s="291"/>
      <c r="B156" s="164" t="s">
        <v>69</v>
      </c>
      <c r="C156" s="744" t="s">
        <v>84</v>
      </c>
      <c r="D156" s="745" t="s">
        <v>65</v>
      </c>
      <c r="E156" s="745" t="s">
        <v>72</v>
      </c>
      <c r="F156" s="746" t="s">
        <v>112</v>
      </c>
      <c r="G156" s="150" t="s">
        <v>70</v>
      </c>
      <c r="H156" s="305">
        <f>'прил12(ведом 21)'!M551</f>
        <v>11426.1</v>
      </c>
    </row>
    <row r="157" spans="1:8" s="303" customFormat="1" ht="37.5">
      <c r="A157" s="291"/>
      <c r="B157" s="164" t="s">
        <v>75</v>
      </c>
      <c r="C157" s="744" t="s">
        <v>84</v>
      </c>
      <c r="D157" s="745" t="s">
        <v>65</v>
      </c>
      <c r="E157" s="745" t="s">
        <v>72</v>
      </c>
      <c r="F157" s="746" t="s">
        <v>112</v>
      </c>
      <c r="G157" s="150" t="s">
        <v>76</v>
      </c>
      <c r="H157" s="305">
        <f>'прил12(ведом 21)'!M552</f>
        <v>1337</v>
      </c>
    </row>
    <row r="158" spans="1:8" s="303" customFormat="1" ht="18.75">
      <c r="A158" s="291"/>
      <c r="B158" s="164" t="s">
        <v>77</v>
      </c>
      <c r="C158" s="744" t="s">
        <v>84</v>
      </c>
      <c r="D158" s="745" t="s">
        <v>65</v>
      </c>
      <c r="E158" s="745" t="s">
        <v>72</v>
      </c>
      <c r="F158" s="746" t="s">
        <v>112</v>
      </c>
      <c r="G158" s="150" t="s">
        <v>78</v>
      </c>
      <c r="H158" s="305">
        <f>'прил12(ведом 21)'!M553</f>
        <v>47</v>
      </c>
    </row>
    <row r="159" spans="1:8" s="303" customFormat="1" ht="42" customHeight="1">
      <c r="A159" s="291"/>
      <c r="B159" s="168" t="s">
        <v>321</v>
      </c>
      <c r="C159" s="744" t="s">
        <v>84</v>
      </c>
      <c r="D159" s="745" t="s">
        <v>65</v>
      </c>
      <c r="E159" s="745" t="s">
        <v>86</v>
      </c>
      <c r="F159" s="746" t="s">
        <v>64</v>
      </c>
      <c r="G159" s="150"/>
      <c r="H159" s="305">
        <f>H160</f>
        <v>277.89999999999998</v>
      </c>
    </row>
    <row r="160" spans="1:8" s="303" customFormat="1" ht="37.5">
      <c r="A160" s="291"/>
      <c r="B160" s="168" t="s">
        <v>817</v>
      </c>
      <c r="C160" s="744" t="s">
        <v>84</v>
      </c>
      <c r="D160" s="745" t="s">
        <v>65</v>
      </c>
      <c r="E160" s="745" t="s">
        <v>86</v>
      </c>
      <c r="F160" s="746" t="s">
        <v>816</v>
      </c>
      <c r="G160" s="150"/>
      <c r="H160" s="305">
        <f>H161</f>
        <v>277.89999999999998</v>
      </c>
    </row>
    <row r="161" spans="1:8" s="303" customFormat="1" ht="39" customHeight="1">
      <c r="A161" s="291"/>
      <c r="B161" s="168" t="s">
        <v>97</v>
      </c>
      <c r="C161" s="744" t="s">
        <v>84</v>
      </c>
      <c r="D161" s="745" t="s">
        <v>65</v>
      </c>
      <c r="E161" s="745" t="s">
        <v>86</v>
      </c>
      <c r="F161" s="746" t="s">
        <v>816</v>
      </c>
      <c r="G161" s="150" t="s">
        <v>98</v>
      </c>
      <c r="H161" s="305">
        <f>'прил12(ведом 21)'!M531</f>
        <v>277.89999999999998</v>
      </c>
    </row>
    <row r="162" spans="1:8" ht="37.5">
      <c r="A162" s="291"/>
      <c r="B162" s="304" t="s">
        <v>390</v>
      </c>
      <c r="C162" s="180" t="s">
        <v>84</v>
      </c>
      <c r="D162" s="321" t="s">
        <v>110</v>
      </c>
      <c r="E162" s="321" t="s">
        <v>63</v>
      </c>
      <c r="F162" s="746" t="s">
        <v>64</v>
      </c>
      <c r="G162" s="323"/>
      <c r="H162" s="305">
        <f>H163</f>
        <v>992.9</v>
      </c>
    </row>
    <row r="163" spans="1:8" ht="93.75">
      <c r="A163" s="291"/>
      <c r="B163" s="306" t="s">
        <v>383</v>
      </c>
      <c r="C163" s="180" t="s">
        <v>84</v>
      </c>
      <c r="D163" s="321" t="s">
        <v>110</v>
      </c>
      <c r="E163" s="321" t="s">
        <v>84</v>
      </c>
      <c r="F163" s="746" t="s">
        <v>64</v>
      </c>
      <c r="G163" s="323"/>
      <c r="H163" s="305">
        <f>H164+H167</f>
        <v>992.9</v>
      </c>
    </row>
    <row r="164" spans="1:8" ht="37.5">
      <c r="A164" s="291"/>
      <c r="B164" s="306" t="s">
        <v>378</v>
      </c>
      <c r="C164" s="180" t="s">
        <v>84</v>
      </c>
      <c r="D164" s="321" t="s">
        <v>110</v>
      </c>
      <c r="E164" s="321" t="s">
        <v>84</v>
      </c>
      <c r="F164" s="322" t="s">
        <v>379</v>
      </c>
      <c r="G164" s="289"/>
      <c r="H164" s="305">
        <f>SUM(H165:H166)</f>
        <v>950.8</v>
      </c>
    </row>
    <row r="165" spans="1:8" ht="37.5">
      <c r="A165" s="291"/>
      <c r="B165" s="304" t="s">
        <v>75</v>
      </c>
      <c r="C165" s="744" t="s">
        <v>84</v>
      </c>
      <c r="D165" s="745" t="s">
        <v>110</v>
      </c>
      <c r="E165" s="745" t="s">
        <v>84</v>
      </c>
      <c r="F165" s="746" t="s">
        <v>379</v>
      </c>
      <c r="G165" s="289" t="s">
        <v>76</v>
      </c>
      <c r="H165" s="305">
        <f>'прил12(ведом 21)'!M565</f>
        <v>932.9</v>
      </c>
    </row>
    <row r="166" spans="1:8" ht="39.75" customHeight="1">
      <c r="A166" s="291"/>
      <c r="B166" s="306" t="s">
        <v>97</v>
      </c>
      <c r="C166" s="744" t="s">
        <v>84</v>
      </c>
      <c r="D166" s="745" t="s">
        <v>110</v>
      </c>
      <c r="E166" s="745" t="s">
        <v>84</v>
      </c>
      <c r="F166" s="746" t="s">
        <v>379</v>
      </c>
      <c r="G166" s="150" t="s">
        <v>98</v>
      </c>
      <c r="H166" s="305">
        <f>'прил12(ведом 21)'!M557</f>
        <v>17.899999999999999</v>
      </c>
    </row>
    <row r="167" spans="1:8" ht="40.5" customHeight="1">
      <c r="A167" s="291"/>
      <c r="B167" s="168" t="s">
        <v>587</v>
      </c>
      <c r="C167" s="744" t="s">
        <v>84</v>
      </c>
      <c r="D167" s="745" t="s">
        <v>110</v>
      </c>
      <c r="E167" s="745" t="s">
        <v>84</v>
      </c>
      <c r="F167" s="746" t="s">
        <v>588</v>
      </c>
      <c r="G167" s="150"/>
      <c r="H167" s="305">
        <f>H168</f>
        <v>42.1</v>
      </c>
    </row>
    <row r="168" spans="1:8" ht="41.25" customHeight="1">
      <c r="A168" s="291"/>
      <c r="B168" s="168" t="s">
        <v>97</v>
      </c>
      <c r="C168" s="744" t="s">
        <v>84</v>
      </c>
      <c r="D168" s="745" t="s">
        <v>110</v>
      </c>
      <c r="E168" s="745" t="s">
        <v>84</v>
      </c>
      <c r="F168" s="746" t="s">
        <v>588</v>
      </c>
      <c r="G168" s="150" t="s">
        <v>98</v>
      </c>
      <c r="H168" s="305">
        <f>'прил12(ведом 21)'!M559</f>
        <v>42.1</v>
      </c>
    </row>
    <row r="169" spans="1:8" s="303" customFormat="1" ht="42" customHeight="1">
      <c r="A169" s="291"/>
      <c r="B169" s="304" t="s">
        <v>238</v>
      </c>
      <c r="C169" s="744" t="s">
        <v>84</v>
      </c>
      <c r="D169" s="745" t="s">
        <v>50</v>
      </c>
      <c r="E169" s="745" t="s">
        <v>63</v>
      </c>
      <c r="F169" s="746" t="s">
        <v>64</v>
      </c>
      <c r="G169" s="289"/>
      <c r="H169" s="305">
        <f>H170+H181</f>
        <v>9445.6</v>
      </c>
    </row>
    <row r="170" spans="1:8" s="303" customFormat="1" ht="37.5">
      <c r="A170" s="291"/>
      <c r="B170" s="304" t="s">
        <v>322</v>
      </c>
      <c r="C170" s="744" t="s">
        <v>84</v>
      </c>
      <c r="D170" s="745" t="s">
        <v>50</v>
      </c>
      <c r="E170" s="745" t="s">
        <v>57</v>
      </c>
      <c r="F170" s="746" t="s">
        <v>64</v>
      </c>
      <c r="G170" s="150"/>
      <c r="H170" s="305">
        <f>H171+H175+H179</f>
        <v>9314.4</v>
      </c>
    </row>
    <row r="171" spans="1:8" ht="37.5">
      <c r="A171" s="291"/>
      <c r="B171" s="304" t="s">
        <v>67</v>
      </c>
      <c r="C171" s="744" t="s">
        <v>84</v>
      </c>
      <c r="D171" s="745" t="s">
        <v>50</v>
      </c>
      <c r="E171" s="745" t="s">
        <v>57</v>
      </c>
      <c r="F171" s="746" t="s">
        <v>68</v>
      </c>
      <c r="G171" s="323"/>
      <c r="H171" s="305">
        <f>SUM(H172:H174)</f>
        <v>2859.3000000000006</v>
      </c>
    </row>
    <row r="172" spans="1:8" ht="93.75">
      <c r="A172" s="291"/>
      <c r="B172" s="304" t="s">
        <v>69</v>
      </c>
      <c r="C172" s="744" t="s">
        <v>84</v>
      </c>
      <c r="D172" s="745" t="s">
        <v>50</v>
      </c>
      <c r="E172" s="745" t="s">
        <v>57</v>
      </c>
      <c r="F172" s="746" t="s">
        <v>68</v>
      </c>
      <c r="G172" s="323" t="s">
        <v>70</v>
      </c>
      <c r="H172" s="305">
        <f>'прил12(ведом 21)'!M569</f>
        <v>2616.6000000000004</v>
      </c>
    </row>
    <row r="173" spans="1:8" ht="37.5">
      <c r="A173" s="291"/>
      <c r="B173" s="304" t="s">
        <v>75</v>
      </c>
      <c r="C173" s="744" t="s">
        <v>84</v>
      </c>
      <c r="D173" s="745" t="s">
        <v>50</v>
      </c>
      <c r="E173" s="745" t="s">
        <v>57</v>
      </c>
      <c r="F173" s="746" t="s">
        <v>68</v>
      </c>
      <c r="G173" s="323" t="s">
        <v>76</v>
      </c>
      <c r="H173" s="305">
        <f>'прил12(ведом 21)'!M570</f>
        <v>238.3</v>
      </c>
    </row>
    <row r="174" spans="1:8" ht="18.75">
      <c r="A174" s="291"/>
      <c r="B174" s="304" t="s">
        <v>77</v>
      </c>
      <c r="C174" s="744" t="s">
        <v>84</v>
      </c>
      <c r="D174" s="745" t="s">
        <v>50</v>
      </c>
      <c r="E174" s="745" t="s">
        <v>57</v>
      </c>
      <c r="F174" s="746" t="s">
        <v>68</v>
      </c>
      <c r="G174" s="150" t="s">
        <v>78</v>
      </c>
      <c r="H174" s="305">
        <f>'прил12(ведом 21)'!M571</f>
        <v>4.4000000000000004</v>
      </c>
    </row>
    <row r="175" spans="1:8" ht="37.5">
      <c r="A175" s="291"/>
      <c r="B175" s="304" t="s">
        <v>800</v>
      </c>
      <c r="C175" s="744" t="s">
        <v>84</v>
      </c>
      <c r="D175" s="745" t="s">
        <v>50</v>
      </c>
      <c r="E175" s="745" t="s">
        <v>57</v>
      </c>
      <c r="F175" s="746" t="s">
        <v>112</v>
      </c>
      <c r="G175" s="150"/>
      <c r="H175" s="305">
        <f>SUM(H176:H178)</f>
        <v>6363.8</v>
      </c>
    </row>
    <row r="176" spans="1:8" ht="93.75">
      <c r="A176" s="291"/>
      <c r="B176" s="304" t="s">
        <v>69</v>
      </c>
      <c r="C176" s="744" t="s">
        <v>84</v>
      </c>
      <c r="D176" s="745" t="s">
        <v>50</v>
      </c>
      <c r="E176" s="745" t="s">
        <v>57</v>
      </c>
      <c r="F176" s="746" t="s">
        <v>112</v>
      </c>
      <c r="G176" s="323" t="s">
        <v>70</v>
      </c>
      <c r="H176" s="305">
        <f>'прил12(ведом 21)'!M573</f>
        <v>5786.6</v>
      </c>
    </row>
    <row r="177" spans="1:8" ht="37.5">
      <c r="A177" s="291"/>
      <c r="B177" s="304" t="s">
        <v>75</v>
      </c>
      <c r="C177" s="744" t="s">
        <v>84</v>
      </c>
      <c r="D177" s="745" t="s">
        <v>50</v>
      </c>
      <c r="E177" s="745" t="s">
        <v>57</v>
      </c>
      <c r="F177" s="746" t="s">
        <v>112</v>
      </c>
      <c r="G177" s="323" t="s">
        <v>76</v>
      </c>
      <c r="H177" s="305">
        <f>'прил12(ведом 21)'!M574</f>
        <v>575.5</v>
      </c>
    </row>
    <row r="178" spans="1:8" ht="18.75">
      <c r="A178" s="291"/>
      <c r="B178" s="304" t="s">
        <v>77</v>
      </c>
      <c r="C178" s="744" t="s">
        <v>84</v>
      </c>
      <c r="D178" s="745" t="s">
        <v>50</v>
      </c>
      <c r="E178" s="745" t="s">
        <v>57</v>
      </c>
      <c r="F178" s="746" t="s">
        <v>112</v>
      </c>
      <c r="G178" s="150" t="s">
        <v>78</v>
      </c>
      <c r="H178" s="305">
        <f>'прил12(ведом 21)'!M575</f>
        <v>1.7</v>
      </c>
    </row>
    <row r="179" spans="1:8" ht="18.75">
      <c r="A179" s="291"/>
      <c r="B179" s="590" t="s">
        <v>801</v>
      </c>
      <c r="C179" s="744" t="s">
        <v>84</v>
      </c>
      <c r="D179" s="745" t="s">
        <v>50</v>
      </c>
      <c r="E179" s="745" t="s">
        <v>57</v>
      </c>
      <c r="F179" s="454" t="s">
        <v>479</v>
      </c>
      <c r="G179" s="586"/>
      <c r="H179" s="305">
        <f>H180</f>
        <v>91.3</v>
      </c>
    </row>
    <row r="180" spans="1:8" ht="37.5">
      <c r="A180" s="291"/>
      <c r="B180" s="164" t="s">
        <v>75</v>
      </c>
      <c r="C180" s="744" t="s">
        <v>84</v>
      </c>
      <c r="D180" s="745" t="s">
        <v>50</v>
      </c>
      <c r="E180" s="745" t="s">
        <v>57</v>
      </c>
      <c r="F180" s="588" t="s">
        <v>479</v>
      </c>
      <c r="G180" s="587" t="s">
        <v>76</v>
      </c>
      <c r="H180" s="305">
        <f>'прил12(ведом 21)'!M577</f>
        <v>91.3</v>
      </c>
    </row>
    <row r="181" spans="1:8" ht="37.5">
      <c r="A181" s="291"/>
      <c r="B181" s="164" t="s">
        <v>428</v>
      </c>
      <c r="C181" s="580" t="s">
        <v>84</v>
      </c>
      <c r="D181" s="581" t="s">
        <v>50</v>
      </c>
      <c r="E181" s="581" t="s">
        <v>59</v>
      </c>
      <c r="F181" s="582" t="s">
        <v>64</v>
      </c>
      <c r="G181" s="160"/>
      <c r="H181" s="305">
        <f>H182</f>
        <v>131.19999999999999</v>
      </c>
    </row>
    <row r="182" spans="1:8" ht="56.25">
      <c r="A182" s="291"/>
      <c r="B182" s="164" t="s">
        <v>429</v>
      </c>
      <c r="C182" s="580" t="s">
        <v>84</v>
      </c>
      <c r="D182" s="581" t="s">
        <v>50</v>
      </c>
      <c r="E182" s="581" t="s">
        <v>59</v>
      </c>
      <c r="F182" s="582" t="s">
        <v>126</v>
      </c>
      <c r="G182" s="160"/>
      <c r="H182" s="305">
        <f>H183</f>
        <v>131.19999999999999</v>
      </c>
    </row>
    <row r="183" spans="1:8" ht="37.5">
      <c r="A183" s="291"/>
      <c r="B183" s="164" t="s">
        <v>75</v>
      </c>
      <c r="C183" s="580" t="s">
        <v>84</v>
      </c>
      <c r="D183" s="581" t="s">
        <v>50</v>
      </c>
      <c r="E183" s="581" t="s">
        <v>59</v>
      </c>
      <c r="F183" s="582" t="s">
        <v>126</v>
      </c>
      <c r="G183" s="181" t="s">
        <v>76</v>
      </c>
      <c r="H183" s="305">
        <f>'прил12(ведом 21)'!M514</f>
        <v>131.19999999999999</v>
      </c>
    </row>
    <row r="184" spans="1:8" ht="18.75">
      <c r="A184" s="291"/>
      <c r="B184" s="313"/>
      <c r="C184" s="324"/>
      <c r="D184" s="324"/>
      <c r="E184" s="325"/>
      <c r="F184" s="326"/>
      <c r="G184" s="289"/>
      <c r="H184" s="305"/>
    </row>
    <row r="185" spans="1:8" s="303" customFormat="1" ht="56.25">
      <c r="A185" s="314">
        <v>3</v>
      </c>
      <c r="B185" s="327" t="s">
        <v>239</v>
      </c>
      <c r="C185" s="315" t="s">
        <v>72</v>
      </c>
      <c r="D185" s="315" t="s">
        <v>62</v>
      </c>
      <c r="E185" s="315" t="s">
        <v>63</v>
      </c>
      <c r="F185" s="316" t="s">
        <v>64</v>
      </c>
      <c r="G185" s="301"/>
      <c r="H185" s="302">
        <f>H186+H194+H216</f>
        <v>39149.799999999996</v>
      </c>
    </row>
    <row r="186" spans="1:8" ht="24" customHeight="1">
      <c r="A186" s="291"/>
      <c r="B186" s="317" t="s">
        <v>240</v>
      </c>
      <c r="C186" s="744" t="s">
        <v>72</v>
      </c>
      <c r="D186" s="745" t="s">
        <v>65</v>
      </c>
      <c r="E186" s="745" t="s">
        <v>63</v>
      </c>
      <c r="F186" s="746" t="s">
        <v>64</v>
      </c>
      <c r="G186" s="289"/>
      <c r="H186" s="305">
        <f>H187+H190</f>
        <v>741.09999999999991</v>
      </c>
    </row>
    <row r="187" spans="1:8" ht="18.75">
      <c r="A187" s="291"/>
      <c r="B187" s="304" t="s">
        <v>317</v>
      </c>
      <c r="C187" s="744" t="s">
        <v>72</v>
      </c>
      <c r="D187" s="745" t="s">
        <v>65</v>
      </c>
      <c r="E187" s="745" t="s">
        <v>57</v>
      </c>
      <c r="F187" s="746" t="s">
        <v>64</v>
      </c>
      <c r="G187" s="289"/>
      <c r="H187" s="305">
        <f>H188</f>
        <v>144</v>
      </c>
    </row>
    <row r="188" spans="1:8" ht="37.5">
      <c r="A188" s="291"/>
      <c r="B188" s="304" t="s">
        <v>318</v>
      </c>
      <c r="C188" s="744" t="s">
        <v>72</v>
      </c>
      <c r="D188" s="745" t="s">
        <v>65</v>
      </c>
      <c r="E188" s="745" t="s">
        <v>57</v>
      </c>
      <c r="F188" s="746" t="s">
        <v>319</v>
      </c>
      <c r="G188" s="150"/>
      <c r="H188" s="305">
        <f>H189</f>
        <v>144</v>
      </c>
    </row>
    <row r="189" spans="1:8" ht="22.5" customHeight="1">
      <c r="A189" s="291"/>
      <c r="B189" s="304" t="s">
        <v>141</v>
      </c>
      <c r="C189" s="744" t="s">
        <v>72</v>
      </c>
      <c r="D189" s="745" t="s">
        <v>65</v>
      </c>
      <c r="E189" s="745" t="s">
        <v>57</v>
      </c>
      <c r="F189" s="746" t="s">
        <v>319</v>
      </c>
      <c r="G189" s="150" t="s">
        <v>142</v>
      </c>
      <c r="H189" s="305">
        <f>'прил12(ведом 21)'!M593</f>
        <v>144</v>
      </c>
    </row>
    <row r="190" spans="1:8" ht="34.15" customHeight="1">
      <c r="A190" s="291"/>
      <c r="B190" s="304" t="s">
        <v>332</v>
      </c>
      <c r="C190" s="744" t="s">
        <v>72</v>
      </c>
      <c r="D190" s="745" t="s">
        <v>65</v>
      </c>
      <c r="E190" s="745" t="s">
        <v>59</v>
      </c>
      <c r="F190" s="746" t="s">
        <v>64</v>
      </c>
      <c r="G190" s="150"/>
      <c r="H190" s="305">
        <f>H191</f>
        <v>597.09999999999991</v>
      </c>
    </row>
    <row r="191" spans="1:8" ht="42" customHeight="1">
      <c r="A191" s="291"/>
      <c r="B191" s="304" t="s">
        <v>241</v>
      </c>
      <c r="C191" s="744" t="s">
        <v>72</v>
      </c>
      <c r="D191" s="745" t="s">
        <v>65</v>
      </c>
      <c r="E191" s="745" t="s">
        <v>59</v>
      </c>
      <c r="F191" s="746" t="s">
        <v>333</v>
      </c>
      <c r="G191" s="150"/>
      <c r="H191" s="305">
        <f>SUM(H192:H193)</f>
        <v>597.09999999999991</v>
      </c>
    </row>
    <row r="192" spans="1:8" ht="93.75">
      <c r="A192" s="291"/>
      <c r="B192" s="164" t="s">
        <v>69</v>
      </c>
      <c r="C192" s="744" t="s">
        <v>72</v>
      </c>
      <c r="D192" s="745" t="s">
        <v>65</v>
      </c>
      <c r="E192" s="745" t="s">
        <v>59</v>
      </c>
      <c r="F192" s="746" t="s">
        <v>333</v>
      </c>
      <c r="G192" s="150" t="s">
        <v>70</v>
      </c>
      <c r="H192" s="305">
        <f>'прил12(ведом 21)'!M617</f>
        <v>549.79999999999995</v>
      </c>
    </row>
    <row r="193" spans="1:8" ht="37.5">
      <c r="A193" s="291"/>
      <c r="B193" s="304" t="s">
        <v>75</v>
      </c>
      <c r="C193" s="744" t="s">
        <v>72</v>
      </c>
      <c r="D193" s="745" t="s">
        <v>65</v>
      </c>
      <c r="E193" s="745" t="s">
        <v>59</v>
      </c>
      <c r="F193" s="746" t="s">
        <v>333</v>
      </c>
      <c r="G193" s="150" t="s">
        <v>76</v>
      </c>
      <c r="H193" s="305">
        <f>'прил12(ведом 21)'!M618</f>
        <v>47.3</v>
      </c>
    </row>
    <row r="194" spans="1:8" ht="22.5" customHeight="1">
      <c r="A194" s="291"/>
      <c r="B194" s="304" t="s">
        <v>242</v>
      </c>
      <c r="C194" s="744" t="s">
        <v>72</v>
      </c>
      <c r="D194" s="745" t="s">
        <v>110</v>
      </c>
      <c r="E194" s="745" t="s">
        <v>63</v>
      </c>
      <c r="F194" s="746" t="s">
        <v>64</v>
      </c>
      <c r="G194" s="289"/>
      <c r="H194" s="305">
        <f>H195+H200+H213</f>
        <v>32508.6</v>
      </c>
    </row>
    <row r="195" spans="1:8" ht="37.5">
      <c r="A195" s="291"/>
      <c r="B195" s="304" t="s">
        <v>322</v>
      </c>
      <c r="C195" s="744" t="s">
        <v>72</v>
      </c>
      <c r="D195" s="745" t="s">
        <v>110</v>
      </c>
      <c r="E195" s="745" t="s">
        <v>57</v>
      </c>
      <c r="F195" s="746" t="s">
        <v>64</v>
      </c>
      <c r="G195" s="150"/>
      <c r="H195" s="305">
        <f>H196</f>
        <v>2425.3000000000002</v>
      </c>
    </row>
    <row r="196" spans="1:8" ht="37.5">
      <c r="A196" s="291"/>
      <c r="B196" s="304" t="s">
        <v>67</v>
      </c>
      <c r="C196" s="744" t="s">
        <v>72</v>
      </c>
      <c r="D196" s="745" t="s">
        <v>110</v>
      </c>
      <c r="E196" s="745" t="s">
        <v>57</v>
      </c>
      <c r="F196" s="746" t="s">
        <v>68</v>
      </c>
      <c r="G196" s="150"/>
      <c r="H196" s="305">
        <f>SUM(H197:H199)</f>
        <v>2425.3000000000002</v>
      </c>
    </row>
    <row r="197" spans="1:8" ht="93.75">
      <c r="A197" s="291"/>
      <c r="B197" s="304" t="s">
        <v>69</v>
      </c>
      <c r="C197" s="744" t="s">
        <v>72</v>
      </c>
      <c r="D197" s="745" t="s">
        <v>110</v>
      </c>
      <c r="E197" s="745" t="s">
        <v>57</v>
      </c>
      <c r="F197" s="746" t="s">
        <v>68</v>
      </c>
      <c r="G197" s="150" t="s">
        <v>70</v>
      </c>
      <c r="H197" s="305">
        <f>'прил12(ведом 21)'!M624</f>
        <v>2371.8000000000002</v>
      </c>
    </row>
    <row r="198" spans="1:8" ht="37.5">
      <c r="A198" s="291"/>
      <c r="B198" s="304" t="s">
        <v>75</v>
      </c>
      <c r="C198" s="744" t="s">
        <v>72</v>
      </c>
      <c r="D198" s="745" t="s">
        <v>110</v>
      </c>
      <c r="E198" s="745" t="s">
        <v>57</v>
      </c>
      <c r="F198" s="746" t="s">
        <v>68</v>
      </c>
      <c r="G198" s="150" t="s">
        <v>76</v>
      </c>
      <c r="H198" s="305">
        <f>'прил12(ведом 21)'!M625</f>
        <v>51.4</v>
      </c>
    </row>
    <row r="199" spans="1:8" ht="18.75">
      <c r="A199" s="291"/>
      <c r="B199" s="304" t="s">
        <v>77</v>
      </c>
      <c r="C199" s="744" t="s">
        <v>72</v>
      </c>
      <c r="D199" s="745" t="s">
        <v>110</v>
      </c>
      <c r="E199" s="745" t="s">
        <v>57</v>
      </c>
      <c r="F199" s="746" t="s">
        <v>68</v>
      </c>
      <c r="G199" s="150" t="s">
        <v>78</v>
      </c>
      <c r="H199" s="305">
        <f>'прил12(ведом 21)'!M626</f>
        <v>2.1</v>
      </c>
    </row>
    <row r="200" spans="1:8" ht="18.75">
      <c r="A200" s="291"/>
      <c r="B200" s="304" t="s">
        <v>444</v>
      </c>
      <c r="C200" s="744" t="s">
        <v>72</v>
      </c>
      <c r="D200" s="745" t="s">
        <v>110</v>
      </c>
      <c r="E200" s="745" t="s">
        <v>59</v>
      </c>
      <c r="F200" s="746" t="s">
        <v>64</v>
      </c>
      <c r="G200" s="150"/>
      <c r="H200" s="305">
        <f>H201+H205+H211+H207+H209</f>
        <v>30048</v>
      </c>
    </row>
    <row r="201" spans="1:8" ht="37.5">
      <c r="A201" s="291"/>
      <c r="B201" s="304" t="s">
        <v>800</v>
      </c>
      <c r="C201" s="744" t="s">
        <v>72</v>
      </c>
      <c r="D201" s="745" t="s">
        <v>110</v>
      </c>
      <c r="E201" s="745" t="s">
        <v>59</v>
      </c>
      <c r="F201" s="746" t="s">
        <v>112</v>
      </c>
      <c r="G201" s="150"/>
      <c r="H201" s="305">
        <f>SUM(H202:H204)</f>
        <v>24343.600000000002</v>
      </c>
    </row>
    <row r="202" spans="1:8" ht="93.75">
      <c r="A202" s="291"/>
      <c r="B202" s="304" t="s">
        <v>69</v>
      </c>
      <c r="C202" s="744" t="s">
        <v>72</v>
      </c>
      <c r="D202" s="745" t="s">
        <v>110</v>
      </c>
      <c r="E202" s="745" t="s">
        <v>59</v>
      </c>
      <c r="F202" s="746" t="s">
        <v>112</v>
      </c>
      <c r="G202" s="150" t="s">
        <v>70</v>
      </c>
      <c r="H202" s="305">
        <f>'прил12(ведом 21)'!M597</f>
        <v>18860.7</v>
      </c>
    </row>
    <row r="203" spans="1:8" ht="37.5">
      <c r="A203" s="291"/>
      <c r="B203" s="304" t="s">
        <v>75</v>
      </c>
      <c r="C203" s="744" t="s">
        <v>72</v>
      </c>
      <c r="D203" s="745" t="s">
        <v>110</v>
      </c>
      <c r="E203" s="745" t="s">
        <v>59</v>
      </c>
      <c r="F203" s="746" t="s">
        <v>112</v>
      </c>
      <c r="G203" s="150" t="s">
        <v>76</v>
      </c>
      <c r="H203" s="305">
        <f>'прил12(ведом 21)'!M598</f>
        <v>5421.1</v>
      </c>
    </row>
    <row r="204" spans="1:8" ht="18.75">
      <c r="A204" s="291"/>
      <c r="B204" s="304" t="s">
        <v>77</v>
      </c>
      <c r="C204" s="744" t="s">
        <v>72</v>
      </c>
      <c r="D204" s="745" t="s">
        <v>110</v>
      </c>
      <c r="E204" s="745" t="s">
        <v>59</v>
      </c>
      <c r="F204" s="746" t="s">
        <v>112</v>
      </c>
      <c r="G204" s="150" t="s">
        <v>78</v>
      </c>
      <c r="H204" s="305">
        <f>'прил12(ведом 21)'!M599</f>
        <v>61.8</v>
      </c>
    </row>
    <row r="205" spans="1:8" ht="18.75">
      <c r="A205" s="291"/>
      <c r="B205" s="164" t="s">
        <v>801</v>
      </c>
      <c r="C205" s="744" t="s">
        <v>72</v>
      </c>
      <c r="D205" s="745" t="s">
        <v>110</v>
      </c>
      <c r="E205" s="745" t="s">
        <v>59</v>
      </c>
      <c r="F205" s="746" t="s">
        <v>479</v>
      </c>
      <c r="G205" s="150"/>
      <c r="H205" s="305">
        <f>H206</f>
        <v>2355.8000000000002</v>
      </c>
    </row>
    <row r="206" spans="1:8" ht="37.5">
      <c r="A206" s="291"/>
      <c r="B206" s="164" t="s">
        <v>75</v>
      </c>
      <c r="C206" s="744" t="s">
        <v>72</v>
      </c>
      <c r="D206" s="745" t="s">
        <v>110</v>
      </c>
      <c r="E206" s="745" t="s">
        <v>59</v>
      </c>
      <c r="F206" s="746" t="s">
        <v>479</v>
      </c>
      <c r="G206" s="150" t="s">
        <v>76</v>
      </c>
      <c r="H206" s="305">
        <f>'прил12(ведом 21)'!M601</f>
        <v>2355.8000000000002</v>
      </c>
    </row>
    <row r="207" spans="1:8" ht="56.25">
      <c r="A207" s="291"/>
      <c r="B207" s="164" t="s">
        <v>241</v>
      </c>
      <c r="C207" s="744" t="s">
        <v>72</v>
      </c>
      <c r="D207" s="745" t="s">
        <v>110</v>
      </c>
      <c r="E207" s="745" t="s">
        <v>59</v>
      </c>
      <c r="F207" s="746" t="s">
        <v>333</v>
      </c>
      <c r="G207" s="150"/>
      <c r="H207" s="305">
        <f>H208</f>
        <v>2325.8000000000002</v>
      </c>
    </row>
    <row r="208" spans="1:8" ht="37.5">
      <c r="A208" s="291"/>
      <c r="B208" s="164" t="s">
        <v>75</v>
      </c>
      <c r="C208" s="744" t="s">
        <v>72</v>
      </c>
      <c r="D208" s="745" t="s">
        <v>110</v>
      </c>
      <c r="E208" s="745" t="s">
        <v>59</v>
      </c>
      <c r="F208" s="746" t="s">
        <v>333</v>
      </c>
      <c r="G208" s="150" t="s">
        <v>76</v>
      </c>
      <c r="H208" s="305">
        <f>'прил12(ведом 21)'!M603</f>
        <v>2325.8000000000002</v>
      </c>
    </row>
    <row r="209" spans="1:8" ht="174" customHeight="1">
      <c r="A209" s="291"/>
      <c r="B209" s="164" t="s">
        <v>696</v>
      </c>
      <c r="C209" s="744" t="s">
        <v>72</v>
      </c>
      <c r="D209" s="745" t="s">
        <v>110</v>
      </c>
      <c r="E209" s="745" t="s">
        <v>59</v>
      </c>
      <c r="F209" s="746" t="s">
        <v>538</v>
      </c>
      <c r="G209" s="150"/>
      <c r="H209" s="305">
        <f>H210</f>
        <v>125</v>
      </c>
    </row>
    <row r="210" spans="1:8" ht="93.75">
      <c r="A210" s="291"/>
      <c r="B210" s="164" t="s">
        <v>69</v>
      </c>
      <c r="C210" s="744" t="s">
        <v>72</v>
      </c>
      <c r="D210" s="745" t="s">
        <v>110</v>
      </c>
      <c r="E210" s="745" t="s">
        <v>59</v>
      </c>
      <c r="F210" s="746" t="s">
        <v>538</v>
      </c>
      <c r="G210" s="150" t="s">
        <v>70</v>
      </c>
      <c r="H210" s="305">
        <f>'прил12(ведом 21)'!M605</f>
        <v>125</v>
      </c>
    </row>
    <row r="211" spans="1:8" ht="58.15" customHeight="1">
      <c r="A211" s="291"/>
      <c r="B211" s="164" t="s">
        <v>731</v>
      </c>
      <c r="C211" s="744" t="s">
        <v>72</v>
      </c>
      <c r="D211" s="745" t="s">
        <v>110</v>
      </c>
      <c r="E211" s="745" t="s">
        <v>59</v>
      </c>
      <c r="F211" s="746" t="s">
        <v>584</v>
      </c>
      <c r="G211" s="150"/>
      <c r="H211" s="305">
        <f>H212</f>
        <v>897.8</v>
      </c>
    </row>
    <row r="212" spans="1:8" ht="93.75">
      <c r="A212" s="291"/>
      <c r="B212" s="164" t="s">
        <v>69</v>
      </c>
      <c r="C212" s="744" t="s">
        <v>72</v>
      </c>
      <c r="D212" s="745" t="s">
        <v>110</v>
      </c>
      <c r="E212" s="745" t="s">
        <v>59</v>
      </c>
      <c r="F212" s="746" t="s">
        <v>584</v>
      </c>
      <c r="G212" s="150" t="s">
        <v>70</v>
      </c>
      <c r="H212" s="305">
        <f>'прил12(ведом 21)'!M607</f>
        <v>897.8</v>
      </c>
    </row>
    <row r="213" spans="1:8" ht="37.5">
      <c r="A213" s="291"/>
      <c r="B213" s="596" t="s">
        <v>428</v>
      </c>
      <c r="C213" s="580" t="s">
        <v>72</v>
      </c>
      <c r="D213" s="581" t="s">
        <v>110</v>
      </c>
      <c r="E213" s="581" t="s">
        <v>84</v>
      </c>
      <c r="F213" s="582" t="s">
        <v>64</v>
      </c>
      <c r="G213" s="181"/>
      <c r="H213" s="305">
        <f>H214</f>
        <v>35.299999999999997</v>
      </c>
    </row>
    <row r="214" spans="1:8" ht="56.25">
      <c r="A214" s="291"/>
      <c r="B214" s="660" t="s">
        <v>429</v>
      </c>
      <c r="C214" s="580" t="s">
        <v>72</v>
      </c>
      <c r="D214" s="581" t="s">
        <v>110</v>
      </c>
      <c r="E214" s="581" t="s">
        <v>84</v>
      </c>
      <c r="F214" s="582" t="s">
        <v>126</v>
      </c>
      <c r="G214" s="181"/>
      <c r="H214" s="305">
        <f>H215</f>
        <v>35.299999999999997</v>
      </c>
    </row>
    <row r="215" spans="1:8" ht="37.5">
      <c r="A215" s="291"/>
      <c r="B215" s="164" t="s">
        <v>75</v>
      </c>
      <c r="C215" s="580" t="s">
        <v>72</v>
      </c>
      <c r="D215" s="581" t="s">
        <v>110</v>
      </c>
      <c r="E215" s="581" t="s">
        <v>84</v>
      </c>
      <c r="F215" s="582" t="s">
        <v>126</v>
      </c>
      <c r="G215" s="181" t="s">
        <v>76</v>
      </c>
      <c r="H215" s="305">
        <f>'прил12(ведом 21)'!M586</f>
        <v>35.299999999999997</v>
      </c>
    </row>
    <row r="216" spans="1:8" ht="25.5" customHeight="1">
      <c r="A216" s="291"/>
      <c r="B216" s="164" t="s">
        <v>404</v>
      </c>
      <c r="C216" s="744" t="s">
        <v>72</v>
      </c>
      <c r="D216" s="745" t="s">
        <v>51</v>
      </c>
      <c r="E216" s="745" t="s">
        <v>63</v>
      </c>
      <c r="F216" s="746" t="s">
        <v>64</v>
      </c>
      <c r="G216" s="150"/>
      <c r="H216" s="305">
        <f>H217</f>
        <v>5900.0999999999995</v>
      </c>
    </row>
    <row r="217" spans="1:8" ht="59.25" customHeight="1">
      <c r="A217" s="291"/>
      <c r="B217" s="164" t="s">
        <v>585</v>
      </c>
      <c r="C217" s="744" t="s">
        <v>72</v>
      </c>
      <c r="D217" s="745" t="s">
        <v>51</v>
      </c>
      <c r="E217" s="745" t="s">
        <v>84</v>
      </c>
      <c r="F217" s="746" t="s">
        <v>64</v>
      </c>
      <c r="G217" s="150"/>
      <c r="H217" s="305">
        <f>H218</f>
        <v>5900.0999999999995</v>
      </c>
    </row>
    <row r="218" spans="1:8" ht="41.25" customHeight="1">
      <c r="A218" s="291"/>
      <c r="B218" s="164" t="s">
        <v>241</v>
      </c>
      <c r="C218" s="744" t="s">
        <v>72</v>
      </c>
      <c r="D218" s="745" t="s">
        <v>51</v>
      </c>
      <c r="E218" s="745" t="s">
        <v>84</v>
      </c>
      <c r="F218" s="746" t="s">
        <v>333</v>
      </c>
      <c r="G218" s="150"/>
      <c r="H218" s="305">
        <f>H219</f>
        <v>5900.0999999999995</v>
      </c>
    </row>
    <row r="219" spans="1:8" ht="35.25" customHeight="1">
      <c r="A219" s="291"/>
      <c r="B219" s="164" t="s">
        <v>225</v>
      </c>
      <c r="C219" s="744" t="s">
        <v>72</v>
      </c>
      <c r="D219" s="745" t="s">
        <v>51</v>
      </c>
      <c r="E219" s="745" t="s">
        <v>84</v>
      </c>
      <c r="F219" s="746" t="s">
        <v>333</v>
      </c>
      <c r="G219" s="150" t="s">
        <v>226</v>
      </c>
      <c r="H219" s="305">
        <f>'прил12(ведом 21)'!M611</f>
        <v>5900.0999999999995</v>
      </c>
    </row>
    <row r="220" spans="1:8" s="303" customFormat="1" ht="56.25">
      <c r="A220" s="314">
        <v>4</v>
      </c>
      <c r="B220" s="298" t="s">
        <v>243</v>
      </c>
      <c r="C220" s="299" t="s">
        <v>86</v>
      </c>
      <c r="D220" s="299" t="s">
        <v>62</v>
      </c>
      <c r="E220" s="299" t="s">
        <v>63</v>
      </c>
      <c r="F220" s="300" t="s">
        <v>64</v>
      </c>
      <c r="G220" s="301"/>
      <c r="H220" s="302">
        <f>H221+H229</f>
        <v>7038.4</v>
      </c>
    </row>
    <row r="221" spans="1:8" s="303" customFormat="1" ht="18.75">
      <c r="A221" s="291"/>
      <c r="B221" s="304" t="s">
        <v>244</v>
      </c>
      <c r="C221" s="744" t="s">
        <v>86</v>
      </c>
      <c r="D221" s="745" t="s">
        <v>65</v>
      </c>
      <c r="E221" s="745" t="s">
        <v>63</v>
      </c>
      <c r="F221" s="746" t="s">
        <v>64</v>
      </c>
      <c r="G221" s="289"/>
      <c r="H221" s="305">
        <f>H222</f>
        <v>3966.8999999999996</v>
      </c>
    </row>
    <row r="222" spans="1:8" s="303" customFormat="1" ht="75">
      <c r="A222" s="291"/>
      <c r="B222" s="304" t="s">
        <v>328</v>
      </c>
      <c r="C222" s="744" t="s">
        <v>86</v>
      </c>
      <c r="D222" s="745" t="s">
        <v>65</v>
      </c>
      <c r="E222" s="745" t="s">
        <v>57</v>
      </c>
      <c r="F222" s="746" t="s">
        <v>64</v>
      </c>
      <c r="G222" s="150"/>
      <c r="H222" s="305">
        <f>H223+H227</f>
        <v>3966.8999999999996</v>
      </c>
    </row>
    <row r="223" spans="1:8" ht="37.5">
      <c r="A223" s="291"/>
      <c r="B223" s="304" t="s">
        <v>800</v>
      </c>
      <c r="C223" s="744" t="s">
        <v>86</v>
      </c>
      <c r="D223" s="745" t="s">
        <v>65</v>
      </c>
      <c r="E223" s="745" t="s">
        <v>57</v>
      </c>
      <c r="F223" s="746" t="s">
        <v>112</v>
      </c>
      <c r="G223" s="150"/>
      <c r="H223" s="305">
        <f>H224+H225+H226</f>
        <v>3348.2999999999997</v>
      </c>
    </row>
    <row r="224" spans="1:8" ht="93.75">
      <c r="A224" s="291"/>
      <c r="B224" s="304" t="s">
        <v>69</v>
      </c>
      <c r="C224" s="744" t="s">
        <v>86</v>
      </c>
      <c r="D224" s="745" t="s">
        <v>65</v>
      </c>
      <c r="E224" s="745" t="s">
        <v>57</v>
      </c>
      <c r="F224" s="746" t="s">
        <v>112</v>
      </c>
      <c r="G224" s="150" t="s">
        <v>70</v>
      </c>
      <c r="H224" s="305">
        <f>'прил12(ведом 21)'!M648</f>
        <v>3054.2</v>
      </c>
    </row>
    <row r="225" spans="1:8" ht="37.5">
      <c r="A225" s="291"/>
      <c r="B225" s="304" t="s">
        <v>75</v>
      </c>
      <c r="C225" s="744" t="s">
        <v>86</v>
      </c>
      <c r="D225" s="745" t="s">
        <v>65</v>
      </c>
      <c r="E225" s="745" t="s">
        <v>57</v>
      </c>
      <c r="F225" s="746" t="s">
        <v>112</v>
      </c>
      <c r="G225" s="150" t="s">
        <v>76</v>
      </c>
      <c r="H225" s="305">
        <f>'прил12(ведом 21)'!M649</f>
        <v>283.90000000000003</v>
      </c>
    </row>
    <row r="226" spans="1:8" ht="18.75">
      <c r="A226" s="291"/>
      <c r="B226" s="164" t="s">
        <v>77</v>
      </c>
      <c r="C226" s="744" t="s">
        <v>86</v>
      </c>
      <c r="D226" s="745" t="s">
        <v>65</v>
      </c>
      <c r="E226" s="745" t="s">
        <v>57</v>
      </c>
      <c r="F226" s="746" t="s">
        <v>112</v>
      </c>
      <c r="G226" s="150" t="s">
        <v>78</v>
      </c>
      <c r="H226" s="305">
        <f>'прил12(ведом 21)'!M650</f>
        <v>10.199999999999999</v>
      </c>
    </row>
    <row r="227" spans="1:8" ht="37.5">
      <c r="A227" s="291"/>
      <c r="B227" s="304" t="s">
        <v>329</v>
      </c>
      <c r="C227" s="744" t="s">
        <v>86</v>
      </c>
      <c r="D227" s="745" t="s">
        <v>65</v>
      </c>
      <c r="E227" s="745" t="s">
        <v>57</v>
      </c>
      <c r="F227" s="746" t="s">
        <v>330</v>
      </c>
      <c r="G227" s="150"/>
      <c r="H227" s="305">
        <f>H228</f>
        <v>618.6</v>
      </c>
    </row>
    <row r="228" spans="1:8" ht="37.5">
      <c r="A228" s="291"/>
      <c r="B228" s="304" t="s">
        <v>75</v>
      </c>
      <c r="C228" s="744" t="s">
        <v>86</v>
      </c>
      <c r="D228" s="745" t="s">
        <v>65</v>
      </c>
      <c r="E228" s="745" t="s">
        <v>57</v>
      </c>
      <c r="F228" s="746" t="s">
        <v>330</v>
      </c>
      <c r="G228" s="150" t="s">
        <v>76</v>
      </c>
      <c r="H228" s="305">
        <f>'прил12(ведом 21)'!M652</f>
        <v>618.6</v>
      </c>
    </row>
    <row r="229" spans="1:8" s="303" customFormat="1" ht="24" customHeight="1">
      <c r="A229" s="291"/>
      <c r="B229" s="304" t="s">
        <v>242</v>
      </c>
      <c r="C229" s="744" t="s">
        <v>86</v>
      </c>
      <c r="D229" s="745" t="s">
        <v>110</v>
      </c>
      <c r="E229" s="745" t="s">
        <v>63</v>
      </c>
      <c r="F229" s="746" t="s">
        <v>64</v>
      </c>
      <c r="G229" s="150"/>
      <c r="H229" s="305">
        <f>H230+H235+H238+H241</f>
        <v>3071.5</v>
      </c>
    </row>
    <row r="230" spans="1:8" s="303" customFormat="1" ht="37.5">
      <c r="A230" s="291"/>
      <c r="B230" s="304" t="s">
        <v>322</v>
      </c>
      <c r="C230" s="744" t="s">
        <v>86</v>
      </c>
      <c r="D230" s="745" t="s">
        <v>110</v>
      </c>
      <c r="E230" s="745" t="s">
        <v>57</v>
      </c>
      <c r="F230" s="746" t="s">
        <v>64</v>
      </c>
      <c r="G230" s="150"/>
      <c r="H230" s="305">
        <f>H231</f>
        <v>2951.2999999999997</v>
      </c>
    </row>
    <row r="231" spans="1:8" s="303" customFormat="1" ht="37.5">
      <c r="A231" s="291"/>
      <c r="B231" s="304" t="s">
        <v>67</v>
      </c>
      <c r="C231" s="744" t="s">
        <v>86</v>
      </c>
      <c r="D231" s="745" t="s">
        <v>110</v>
      </c>
      <c r="E231" s="745" t="s">
        <v>57</v>
      </c>
      <c r="F231" s="746" t="s">
        <v>68</v>
      </c>
      <c r="G231" s="150"/>
      <c r="H231" s="305">
        <f>SUM(H232:H234)</f>
        <v>2951.2999999999997</v>
      </c>
    </row>
    <row r="232" spans="1:8" s="303" customFormat="1" ht="93.75">
      <c r="A232" s="291"/>
      <c r="B232" s="304" t="s">
        <v>69</v>
      </c>
      <c r="C232" s="744" t="s">
        <v>86</v>
      </c>
      <c r="D232" s="745" t="s">
        <v>110</v>
      </c>
      <c r="E232" s="745" t="s">
        <v>57</v>
      </c>
      <c r="F232" s="746" t="s">
        <v>68</v>
      </c>
      <c r="G232" s="150" t="s">
        <v>70</v>
      </c>
      <c r="H232" s="305">
        <f>'прил12(ведом 21)'!M658</f>
        <v>2664.7</v>
      </c>
    </row>
    <row r="233" spans="1:8" ht="37.5">
      <c r="A233" s="291"/>
      <c r="B233" s="304" t="s">
        <v>75</v>
      </c>
      <c r="C233" s="744" t="s">
        <v>86</v>
      </c>
      <c r="D233" s="745" t="s">
        <v>110</v>
      </c>
      <c r="E233" s="745" t="s">
        <v>57</v>
      </c>
      <c r="F233" s="746" t="s">
        <v>68</v>
      </c>
      <c r="G233" s="150" t="s">
        <v>76</v>
      </c>
      <c r="H233" s="305">
        <f>'прил12(ведом 21)'!M659</f>
        <v>285.40000000000003</v>
      </c>
    </row>
    <row r="234" spans="1:8" ht="18.75">
      <c r="A234" s="291"/>
      <c r="B234" s="304" t="s">
        <v>77</v>
      </c>
      <c r="C234" s="744" t="s">
        <v>86</v>
      </c>
      <c r="D234" s="745" t="s">
        <v>110</v>
      </c>
      <c r="E234" s="745" t="s">
        <v>57</v>
      </c>
      <c r="F234" s="746" t="s">
        <v>68</v>
      </c>
      <c r="G234" s="150" t="s">
        <v>78</v>
      </c>
      <c r="H234" s="305">
        <f>'прил12(ведом 21)'!M660</f>
        <v>1.2</v>
      </c>
    </row>
    <row r="235" spans="1:8" ht="37.5">
      <c r="A235" s="291"/>
      <c r="B235" s="660" t="s">
        <v>428</v>
      </c>
      <c r="C235" s="745" t="s">
        <v>86</v>
      </c>
      <c r="D235" s="745" t="s">
        <v>110</v>
      </c>
      <c r="E235" s="745" t="s">
        <v>59</v>
      </c>
      <c r="F235" s="746" t="s">
        <v>64</v>
      </c>
      <c r="G235" s="150"/>
      <c r="H235" s="305">
        <f>H236</f>
        <v>62.9</v>
      </c>
    </row>
    <row r="236" spans="1:8" ht="56.25">
      <c r="A236" s="291"/>
      <c r="B236" s="660" t="s">
        <v>429</v>
      </c>
      <c r="C236" s="744" t="s">
        <v>86</v>
      </c>
      <c r="D236" s="745" t="s">
        <v>110</v>
      </c>
      <c r="E236" s="745" t="s">
        <v>59</v>
      </c>
      <c r="F236" s="746" t="s">
        <v>126</v>
      </c>
      <c r="G236" s="150"/>
      <c r="H236" s="305">
        <f>H237</f>
        <v>62.9</v>
      </c>
    </row>
    <row r="237" spans="1:8" ht="37.5">
      <c r="A237" s="291"/>
      <c r="B237" s="660" t="s">
        <v>75</v>
      </c>
      <c r="C237" s="744" t="s">
        <v>86</v>
      </c>
      <c r="D237" s="745" t="s">
        <v>110</v>
      </c>
      <c r="E237" s="745" t="s">
        <v>59</v>
      </c>
      <c r="F237" s="746" t="s">
        <v>126</v>
      </c>
      <c r="G237" s="150" t="s">
        <v>76</v>
      </c>
      <c r="H237" s="305">
        <f>'прил12(ведом 21)'!M635</f>
        <v>62.9</v>
      </c>
    </row>
    <row r="238" spans="1:8" ht="37.5">
      <c r="A238" s="291"/>
      <c r="B238" s="164" t="s">
        <v>804</v>
      </c>
      <c r="C238" s="745" t="s">
        <v>86</v>
      </c>
      <c r="D238" s="745" t="s">
        <v>110</v>
      </c>
      <c r="E238" s="745" t="s">
        <v>84</v>
      </c>
      <c r="F238" s="746" t="s">
        <v>64</v>
      </c>
      <c r="G238" s="150"/>
      <c r="H238" s="305">
        <f>H239</f>
        <v>14.8</v>
      </c>
    </row>
    <row r="239" spans="1:8" ht="18.75">
      <c r="A239" s="291"/>
      <c r="B239" s="164" t="s">
        <v>802</v>
      </c>
      <c r="C239" s="745" t="s">
        <v>86</v>
      </c>
      <c r="D239" s="745" t="s">
        <v>110</v>
      </c>
      <c r="E239" s="745" t="s">
        <v>84</v>
      </c>
      <c r="F239" s="746" t="s">
        <v>803</v>
      </c>
      <c r="G239" s="150"/>
      <c r="H239" s="305">
        <f>H240</f>
        <v>14.8</v>
      </c>
    </row>
    <row r="240" spans="1:8" ht="37.5">
      <c r="A240" s="291"/>
      <c r="B240" s="660" t="s">
        <v>75</v>
      </c>
      <c r="C240" s="745" t="s">
        <v>86</v>
      </c>
      <c r="D240" s="745" t="s">
        <v>110</v>
      </c>
      <c r="E240" s="745" t="s">
        <v>84</v>
      </c>
      <c r="F240" s="746" t="s">
        <v>803</v>
      </c>
      <c r="G240" s="150" t="s">
        <v>76</v>
      </c>
      <c r="H240" s="305">
        <f>'прил12(ведом 21)'!M638</f>
        <v>14.8</v>
      </c>
    </row>
    <row r="241" spans="1:8" ht="37.5">
      <c r="A241" s="291"/>
      <c r="B241" s="660" t="s">
        <v>818</v>
      </c>
      <c r="C241" s="745" t="s">
        <v>86</v>
      </c>
      <c r="D241" s="745" t="s">
        <v>110</v>
      </c>
      <c r="E241" s="745" t="s">
        <v>72</v>
      </c>
      <c r="F241" s="740" t="s">
        <v>64</v>
      </c>
      <c r="G241" s="289"/>
      <c r="H241" s="305">
        <f>H242</f>
        <v>42.5</v>
      </c>
    </row>
    <row r="242" spans="1:8" ht="37.5">
      <c r="A242" s="291"/>
      <c r="B242" s="592" t="s">
        <v>148</v>
      </c>
      <c r="C242" s="745" t="s">
        <v>86</v>
      </c>
      <c r="D242" s="745" t="s">
        <v>110</v>
      </c>
      <c r="E242" s="745" t="s">
        <v>72</v>
      </c>
      <c r="F242" s="593" t="s">
        <v>111</v>
      </c>
      <c r="G242" s="289"/>
      <c r="H242" s="305">
        <f>H243</f>
        <v>42.5</v>
      </c>
    </row>
    <row r="243" spans="1:8" ht="37.5">
      <c r="A243" s="291"/>
      <c r="B243" s="660" t="s">
        <v>75</v>
      </c>
      <c r="C243" s="745" t="s">
        <v>86</v>
      </c>
      <c r="D243" s="745" t="s">
        <v>110</v>
      </c>
      <c r="E243" s="745" t="s">
        <v>72</v>
      </c>
      <c r="F243" s="740" t="s">
        <v>111</v>
      </c>
      <c r="G243" s="289" t="s">
        <v>76</v>
      </c>
      <c r="H243" s="305">
        <f>'прил12(ведом 21)'!M641</f>
        <v>42.5</v>
      </c>
    </row>
    <row r="244" spans="1:8" ht="18.75">
      <c r="A244" s="291"/>
      <c r="B244" s="660"/>
      <c r="C244" s="745"/>
      <c r="D244" s="745"/>
      <c r="E244" s="745"/>
      <c r="F244" s="326"/>
      <c r="G244" s="289"/>
      <c r="H244" s="305"/>
    </row>
    <row r="245" spans="1:8" s="303" customFormat="1" ht="56.25">
      <c r="A245" s="314">
        <v>5</v>
      </c>
      <c r="B245" s="298" t="s">
        <v>101</v>
      </c>
      <c r="C245" s="315" t="s">
        <v>102</v>
      </c>
      <c r="D245" s="315" t="s">
        <v>62</v>
      </c>
      <c r="E245" s="315" t="s">
        <v>63</v>
      </c>
      <c r="F245" s="316" t="s">
        <v>64</v>
      </c>
      <c r="G245" s="301"/>
      <c r="H245" s="302">
        <f>H256+H246+H265+H274</f>
        <v>15054.199999999999</v>
      </c>
    </row>
    <row r="246" spans="1:8" ht="56.25">
      <c r="A246" s="291"/>
      <c r="B246" s="317" t="s">
        <v>103</v>
      </c>
      <c r="C246" s="744" t="s">
        <v>102</v>
      </c>
      <c r="D246" s="745" t="s">
        <v>65</v>
      </c>
      <c r="E246" s="745" t="s">
        <v>63</v>
      </c>
      <c r="F246" s="746" t="s">
        <v>64</v>
      </c>
      <c r="G246" s="289"/>
      <c r="H246" s="305">
        <f>H247</f>
        <v>4033.3</v>
      </c>
    </row>
    <row r="247" spans="1:8" ht="75">
      <c r="A247" s="291"/>
      <c r="B247" s="304" t="s">
        <v>104</v>
      </c>
      <c r="C247" s="744" t="s">
        <v>102</v>
      </c>
      <c r="D247" s="745" t="s">
        <v>65</v>
      </c>
      <c r="E247" s="745" t="s">
        <v>57</v>
      </c>
      <c r="F247" s="746" t="s">
        <v>64</v>
      </c>
      <c r="G247" s="150"/>
      <c r="H247" s="305">
        <f>H248+H250+H252+H254</f>
        <v>4033.3</v>
      </c>
    </row>
    <row r="248" spans="1:8" ht="37.5">
      <c r="A248" s="291"/>
      <c r="B248" s="317" t="s">
        <v>759</v>
      </c>
      <c r="C248" s="744" t="s">
        <v>102</v>
      </c>
      <c r="D248" s="745" t="s">
        <v>65</v>
      </c>
      <c r="E248" s="745" t="s">
        <v>57</v>
      </c>
      <c r="F248" s="746" t="s">
        <v>105</v>
      </c>
      <c r="G248" s="150"/>
      <c r="H248" s="305">
        <f>H249</f>
        <v>742.7</v>
      </c>
    </row>
    <row r="249" spans="1:8" ht="37.5">
      <c r="A249" s="291"/>
      <c r="B249" s="304" t="s">
        <v>75</v>
      </c>
      <c r="C249" s="744" t="s">
        <v>102</v>
      </c>
      <c r="D249" s="745" t="s">
        <v>65</v>
      </c>
      <c r="E249" s="745" t="s">
        <v>57</v>
      </c>
      <c r="F249" s="746" t="s">
        <v>105</v>
      </c>
      <c r="G249" s="150" t="s">
        <v>76</v>
      </c>
      <c r="H249" s="305">
        <f>'прил12(ведом 21)'!M92</f>
        <v>742.7</v>
      </c>
    </row>
    <row r="250" spans="1:8" ht="41.25" customHeight="1">
      <c r="A250" s="291"/>
      <c r="B250" s="304" t="s">
        <v>106</v>
      </c>
      <c r="C250" s="744" t="s">
        <v>102</v>
      </c>
      <c r="D250" s="745" t="s">
        <v>65</v>
      </c>
      <c r="E250" s="745" t="s">
        <v>57</v>
      </c>
      <c r="F250" s="746" t="s">
        <v>107</v>
      </c>
      <c r="G250" s="150"/>
      <c r="H250" s="305">
        <f>H251</f>
        <v>203</v>
      </c>
    </row>
    <row r="251" spans="1:8" ht="37.5">
      <c r="A251" s="291"/>
      <c r="B251" s="304" t="s">
        <v>75</v>
      </c>
      <c r="C251" s="744" t="s">
        <v>102</v>
      </c>
      <c r="D251" s="745" t="s">
        <v>65</v>
      </c>
      <c r="E251" s="745" t="s">
        <v>57</v>
      </c>
      <c r="F251" s="746" t="s">
        <v>107</v>
      </c>
      <c r="G251" s="150" t="s">
        <v>76</v>
      </c>
      <c r="H251" s="305">
        <f>'прил12(ведом 21)'!M94</f>
        <v>203</v>
      </c>
    </row>
    <row r="252" spans="1:8" ht="76.5" customHeight="1">
      <c r="A252" s="291"/>
      <c r="B252" s="304" t="s">
        <v>405</v>
      </c>
      <c r="C252" s="744" t="s">
        <v>102</v>
      </c>
      <c r="D252" s="745" t="s">
        <v>65</v>
      </c>
      <c r="E252" s="745" t="s">
        <v>57</v>
      </c>
      <c r="F252" s="746" t="s">
        <v>393</v>
      </c>
      <c r="G252" s="150"/>
      <c r="H252" s="305">
        <f>H253</f>
        <v>3075.3</v>
      </c>
    </row>
    <row r="253" spans="1:8" ht="18.75">
      <c r="A253" s="291"/>
      <c r="B253" s="304" t="s">
        <v>144</v>
      </c>
      <c r="C253" s="744" t="s">
        <v>102</v>
      </c>
      <c r="D253" s="745" t="s">
        <v>65</v>
      </c>
      <c r="E253" s="745" t="s">
        <v>57</v>
      </c>
      <c r="F253" s="746" t="s">
        <v>393</v>
      </c>
      <c r="G253" s="150" t="s">
        <v>145</v>
      </c>
      <c r="H253" s="305">
        <f>'прил12(ведом 21)'!M96</f>
        <v>3075.3</v>
      </c>
    </row>
    <row r="254" spans="1:8" ht="112.5">
      <c r="A254" s="291"/>
      <c r="B254" s="304" t="s">
        <v>407</v>
      </c>
      <c r="C254" s="744" t="s">
        <v>102</v>
      </c>
      <c r="D254" s="745" t="s">
        <v>65</v>
      </c>
      <c r="E254" s="745" t="s">
        <v>57</v>
      </c>
      <c r="F254" s="746" t="s">
        <v>394</v>
      </c>
      <c r="G254" s="150"/>
      <c r="H254" s="305">
        <f>H255</f>
        <v>12.3</v>
      </c>
    </row>
    <row r="255" spans="1:8" ht="18.75">
      <c r="A255" s="291"/>
      <c r="B255" s="304" t="s">
        <v>144</v>
      </c>
      <c r="C255" s="744" t="s">
        <v>102</v>
      </c>
      <c r="D255" s="745" t="s">
        <v>65</v>
      </c>
      <c r="E255" s="745" t="s">
        <v>57</v>
      </c>
      <c r="F255" s="746" t="s">
        <v>394</v>
      </c>
      <c r="G255" s="150" t="s">
        <v>145</v>
      </c>
      <c r="H255" s="305">
        <f>'прил12(ведом 21)'!M98</f>
        <v>12.3</v>
      </c>
    </row>
    <row r="256" spans="1:8" ht="37.5">
      <c r="A256" s="291"/>
      <c r="B256" s="328" t="s">
        <v>146</v>
      </c>
      <c r="C256" s="744" t="s">
        <v>102</v>
      </c>
      <c r="D256" s="745" t="s">
        <v>110</v>
      </c>
      <c r="E256" s="745" t="s">
        <v>63</v>
      </c>
      <c r="F256" s="746" t="s">
        <v>64</v>
      </c>
      <c r="G256" s="289"/>
      <c r="H256" s="305">
        <f>H257+H262</f>
        <v>384.4</v>
      </c>
    </row>
    <row r="257" spans="1:8" ht="37.5">
      <c r="A257" s="291"/>
      <c r="B257" s="304" t="s">
        <v>311</v>
      </c>
      <c r="C257" s="744" t="s">
        <v>102</v>
      </c>
      <c r="D257" s="745" t="s">
        <v>110</v>
      </c>
      <c r="E257" s="745" t="s">
        <v>57</v>
      </c>
      <c r="F257" s="746" t="s">
        <v>64</v>
      </c>
      <c r="G257" s="150"/>
      <c r="H257" s="305">
        <f>H258+H260</f>
        <v>143.69999999999999</v>
      </c>
    </row>
    <row r="258" spans="1:8" ht="37.5">
      <c r="A258" s="291"/>
      <c r="B258" s="304" t="s">
        <v>148</v>
      </c>
      <c r="C258" s="744" t="s">
        <v>102</v>
      </c>
      <c r="D258" s="745" t="s">
        <v>110</v>
      </c>
      <c r="E258" s="745" t="s">
        <v>57</v>
      </c>
      <c r="F258" s="746" t="s">
        <v>111</v>
      </c>
      <c r="G258" s="150"/>
      <c r="H258" s="305">
        <f>SUM(H259:H259)</f>
        <v>21.6</v>
      </c>
    </row>
    <row r="259" spans="1:8" ht="37.5">
      <c r="A259" s="291"/>
      <c r="B259" s="304" t="s">
        <v>75</v>
      </c>
      <c r="C259" s="744" t="s">
        <v>102</v>
      </c>
      <c r="D259" s="745" t="s">
        <v>110</v>
      </c>
      <c r="E259" s="745" t="s">
        <v>57</v>
      </c>
      <c r="F259" s="746" t="s">
        <v>111</v>
      </c>
      <c r="G259" s="150" t="s">
        <v>76</v>
      </c>
      <c r="H259" s="305">
        <f>'прил12(ведом 21)'!M104</f>
        <v>21.6</v>
      </c>
    </row>
    <row r="260" spans="1:8" ht="93.75">
      <c r="A260" s="291"/>
      <c r="B260" s="328" t="s">
        <v>406</v>
      </c>
      <c r="C260" s="744" t="s">
        <v>102</v>
      </c>
      <c r="D260" s="745" t="s">
        <v>110</v>
      </c>
      <c r="E260" s="745" t="s">
        <v>57</v>
      </c>
      <c r="F260" s="746" t="s">
        <v>395</v>
      </c>
      <c r="G260" s="150"/>
      <c r="H260" s="305">
        <f>H261</f>
        <v>122.1</v>
      </c>
    </row>
    <row r="261" spans="1:8" ht="18.75">
      <c r="A261" s="291"/>
      <c r="B261" s="328" t="s">
        <v>144</v>
      </c>
      <c r="C261" s="744" t="s">
        <v>102</v>
      </c>
      <c r="D261" s="745" t="s">
        <v>110</v>
      </c>
      <c r="E261" s="745" t="s">
        <v>57</v>
      </c>
      <c r="F261" s="746" t="s">
        <v>395</v>
      </c>
      <c r="G261" s="150" t="s">
        <v>145</v>
      </c>
      <c r="H261" s="305">
        <f>'прил12(ведом 21)'!M106</f>
        <v>122.1</v>
      </c>
    </row>
    <row r="262" spans="1:8" ht="56.25">
      <c r="A262" s="291"/>
      <c r="B262" s="318" t="s">
        <v>147</v>
      </c>
      <c r="C262" s="744" t="s">
        <v>102</v>
      </c>
      <c r="D262" s="745" t="s">
        <v>110</v>
      </c>
      <c r="E262" s="745" t="s">
        <v>59</v>
      </c>
      <c r="F262" s="746" t="s">
        <v>64</v>
      </c>
      <c r="G262" s="150"/>
      <c r="H262" s="305">
        <f>H263</f>
        <v>240.7</v>
      </c>
    </row>
    <row r="263" spans="1:8" ht="37.5">
      <c r="A263" s="291"/>
      <c r="B263" s="318" t="s">
        <v>148</v>
      </c>
      <c r="C263" s="744" t="s">
        <v>102</v>
      </c>
      <c r="D263" s="745" t="s">
        <v>110</v>
      </c>
      <c r="E263" s="745" t="s">
        <v>59</v>
      </c>
      <c r="F263" s="746" t="s">
        <v>111</v>
      </c>
      <c r="G263" s="150"/>
      <c r="H263" s="305">
        <f>H264</f>
        <v>240.7</v>
      </c>
    </row>
    <row r="264" spans="1:8" ht="37.5">
      <c r="A264" s="291"/>
      <c r="B264" s="304" t="s">
        <v>75</v>
      </c>
      <c r="C264" s="744" t="s">
        <v>102</v>
      </c>
      <c r="D264" s="745" t="s">
        <v>110</v>
      </c>
      <c r="E264" s="745" t="s">
        <v>59</v>
      </c>
      <c r="F264" s="746" t="s">
        <v>111</v>
      </c>
      <c r="G264" s="150" t="s">
        <v>76</v>
      </c>
      <c r="H264" s="305">
        <f>'прил12(ведом 21)'!M109</f>
        <v>240.7</v>
      </c>
    </row>
    <row r="265" spans="1:8" ht="56.25">
      <c r="A265" s="291"/>
      <c r="B265" s="169" t="s">
        <v>453</v>
      </c>
      <c r="C265" s="744" t="s">
        <v>102</v>
      </c>
      <c r="D265" s="745" t="s">
        <v>50</v>
      </c>
      <c r="E265" s="745" t="s">
        <v>63</v>
      </c>
      <c r="F265" s="746" t="s">
        <v>64</v>
      </c>
      <c r="G265" s="150"/>
      <c r="H265" s="305">
        <f>H266+H271</f>
        <v>10614.9</v>
      </c>
    </row>
    <row r="266" spans="1:8" ht="75">
      <c r="A266" s="291"/>
      <c r="B266" s="318" t="s">
        <v>386</v>
      </c>
      <c r="C266" s="744" t="s">
        <v>102</v>
      </c>
      <c r="D266" s="745" t="s">
        <v>50</v>
      </c>
      <c r="E266" s="745" t="s">
        <v>57</v>
      </c>
      <c r="F266" s="746" t="s">
        <v>64</v>
      </c>
      <c r="G266" s="150"/>
      <c r="H266" s="305">
        <f>H267</f>
        <v>10159.799999999999</v>
      </c>
    </row>
    <row r="267" spans="1:8" ht="37.5">
      <c r="A267" s="291"/>
      <c r="B267" s="304" t="s">
        <v>800</v>
      </c>
      <c r="C267" s="744" t="s">
        <v>102</v>
      </c>
      <c r="D267" s="745" t="s">
        <v>50</v>
      </c>
      <c r="E267" s="745" t="s">
        <v>57</v>
      </c>
      <c r="F267" s="746" t="s">
        <v>112</v>
      </c>
      <c r="G267" s="150"/>
      <c r="H267" s="305">
        <f>SUM(H268:H270)</f>
        <v>10159.799999999999</v>
      </c>
    </row>
    <row r="268" spans="1:8" s="303" customFormat="1" ht="93.75">
      <c r="A268" s="291"/>
      <c r="B268" s="304" t="s">
        <v>69</v>
      </c>
      <c r="C268" s="744" t="s">
        <v>102</v>
      </c>
      <c r="D268" s="745" t="s">
        <v>50</v>
      </c>
      <c r="E268" s="745" t="s">
        <v>57</v>
      </c>
      <c r="F268" s="746" t="s">
        <v>112</v>
      </c>
      <c r="G268" s="150" t="s">
        <v>70</v>
      </c>
      <c r="H268" s="305">
        <f>'прил12(ведом 21)'!M113</f>
        <v>7540.6</v>
      </c>
    </row>
    <row r="269" spans="1:8" ht="37.5">
      <c r="A269" s="291"/>
      <c r="B269" s="304" t="s">
        <v>75</v>
      </c>
      <c r="C269" s="744" t="s">
        <v>102</v>
      </c>
      <c r="D269" s="745" t="s">
        <v>50</v>
      </c>
      <c r="E269" s="745" t="s">
        <v>57</v>
      </c>
      <c r="F269" s="746" t="s">
        <v>112</v>
      </c>
      <c r="G269" s="150" t="s">
        <v>76</v>
      </c>
      <c r="H269" s="305">
        <f>'прил12(ведом 21)'!M114</f>
        <v>2612.9000000000005</v>
      </c>
    </row>
    <row r="270" spans="1:8" s="303" customFormat="1" ht="18.75">
      <c r="A270" s="291"/>
      <c r="B270" s="304" t="s">
        <v>77</v>
      </c>
      <c r="C270" s="744" t="s">
        <v>102</v>
      </c>
      <c r="D270" s="745" t="s">
        <v>50</v>
      </c>
      <c r="E270" s="745" t="s">
        <v>57</v>
      </c>
      <c r="F270" s="746" t="s">
        <v>112</v>
      </c>
      <c r="G270" s="150" t="s">
        <v>78</v>
      </c>
      <c r="H270" s="305">
        <f>'прил12(ведом 21)'!M115</f>
        <v>6.3</v>
      </c>
    </row>
    <row r="271" spans="1:8" s="303" customFormat="1" ht="37.5">
      <c r="A271" s="291"/>
      <c r="B271" s="169" t="s">
        <v>820</v>
      </c>
      <c r="C271" s="744" t="s">
        <v>102</v>
      </c>
      <c r="D271" s="745" t="s">
        <v>50</v>
      </c>
      <c r="E271" s="745" t="s">
        <v>59</v>
      </c>
      <c r="F271" s="746" t="s">
        <v>64</v>
      </c>
      <c r="G271" s="150"/>
      <c r="H271" s="305">
        <f>H272</f>
        <v>455.1</v>
      </c>
    </row>
    <row r="272" spans="1:8" s="303" customFormat="1" ht="44.25" customHeight="1">
      <c r="A272" s="291"/>
      <c r="B272" s="358" t="s">
        <v>106</v>
      </c>
      <c r="C272" s="744" t="s">
        <v>102</v>
      </c>
      <c r="D272" s="745" t="s">
        <v>50</v>
      </c>
      <c r="E272" s="745" t="s">
        <v>59</v>
      </c>
      <c r="F272" s="746" t="s">
        <v>107</v>
      </c>
      <c r="G272" s="150"/>
      <c r="H272" s="305">
        <f>H273</f>
        <v>455.1</v>
      </c>
    </row>
    <row r="273" spans="1:8" s="303" customFormat="1" ht="37.5">
      <c r="A273" s="291"/>
      <c r="B273" s="661" t="s">
        <v>75</v>
      </c>
      <c r="C273" s="744" t="s">
        <v>102</v>
      </c>
      <c r="D273" s="745" t="s">
        <v>50</v>
      </c>
      <c r="E273" s="745" t="s">
        <v>59</v>
      </c>
      <c r="F273" s="746" t="s">
        <v>107</v>
      </c>
      <c r="G273" s="150" t="s">
        <v>76</v>
      </c>
      <c r="H273" s="305">
        <f>'прил12(ведом 21)'!M118</f>
        <v>455.1</v>
      </c>
    </row>
    <row r="274" spans="1:8" s="303" customFormat="1" ht="56.25">
      <c r="A274" s="291"/>
      <c r="B274" s="662" t="s">
        <v>908</v>
      </c>
      <c r="C274" s="745" t="s">
        <v>102</v>
      </c>
      <c r="D274" s="745" t="s">
        <v>51</v>
      </c>
      <c r="E274" s="745" t="s">
        <v>63</v>
      </c>
      <c r="F274" s="746" t="s">
        <v>64</v>
      </c>
      <c r="G274" s="150"/>
      <c r="H274" s="305">
        <f t="shared" ref="H274:H275" si="0">H275</f>
        <v>21.6</v>
      </c>
    </row>
    <row r="275" spans="1:8" s="303" customFormat="1" ht="56.25">
      <c r="A275" s="291"/>
      <c r="B275" s="662" t="s">
        <v>909</v>
      </c>
      <c r="C275" s="745" t="s">
        <v>102</v>
      </c>
      <c r="D275" s="745" t="s">
        <v>51</v>
      </c>
      <c r="E275" s="745" t="s">
        <v>57</v>
      </c>
      <c r="F275" s="746" t="s">
        <v>64</v>
      </c>
      <c r="G275" s="150"/>
      <c r="H275" s="305">
        <f t="shared" si="0"/>
        <v>21.6</v>
      </c>
    </row>
    <row r="276" spans="1:8" s="303" customFormat="1" ht="38.25" customHeight="1">
      <c r="A276" s="291"/>
      <c r="B276" s="662" t="s">
        <v>106</v>
      </c>
      <c r="C276" s="745" t="s">
        <v>102</v>
      </c>
      <c r="D276" s="745" t="s">
        <v>51</v>
      </c>
      <c r="E276" s="745" t="s">
        <v>57</v>
      </c>
      <c r="F276" s="746" t="s">
        <v>107</v>
      </c>
      <c r="G276" s="150"/>
      <c r="H276" s="305">
        <f>H277</f>
        <v>21.6</v>
      </c>
    </row>
    <row r="277" spans="1:8" s="303" customFormat="1" ht="37.5">
      <c r="A277" s="291"/>
      <c r="B277" s="662" t="s">
        <v>75</v>
      </c>
      <c r="C277" s="745" t="s">
        <v>102</v>
      </c>
      <c r="D277" s="745" t="s">
        <v>51</v>
      </c>
      <c r="E277" s="745" t="s">
        <v>57</v>
      </c>
      <c r="F277" s="746" t="s">
        <v>107</v>
      </c>
      <c r="G277" s="150" t="s">
        <v>76</v>
      </c>
      <c r="H277" s="305">
        <f>'прил12(ведом 21)'!M122</f>
        <v>21.6</v>
      </c>
    </row>
    <row r="278" spans="1:8" ht="18.75">
      <c r="A278" s="329"/>
      <c r="B278" s="306"/>
      <c r="C278" s="175"/>
      <c r="D278" s="739"/>
      <c r="E278" s="739"/>
      <c r="F278" s="740"/>
      <c r="G278" s="289"/>
      <c r="H278" s="305"/>
    </row>
    <row r="279" spans="1:8" s="303" customFormat="1" ht="56.25">
      <c r="A279" s="314">
        <v>6</v>
      </c>
      <c r="B279" s="327" t="s">
        <v>245</v>
      </c>
      <c r="C279" s="299" t="s">
        <v>246</v>
      </c>
      <c r="D279" s="299" t="s">
        <v>62</v>
      </c>
      <c r="E279" s="299" t="s">
        <v>63</v>
      </c>
      <c r="F279" s="300" t="s">
        <v>64</v>
      </c>
      <c r="G279" s="301"/>
      <c r="H279" s="302">
        <f>H280</f>
        <v>61741.816000000006</v>
      </c>
    </row>
    <row r="280" spans="1:8" ht="29.25" customHeight="1">
      <c r="A280" s="291"/>
      <c r="B280" s="304" t="s">
        <v>404</v>
      </c>
      <c r="C280" s="172" t="s">
        <v>246</v>
      </c>
      <c r="D280" s="173" t="s">
        <v>65</v>
      </c>
      <c r="E280" s="745" t="s">
        <v>63</v>
      </c>
      <c r="F280" s="746" t="s">
        <v>64</v>
      </c>
      <c r="G280" s="150"/>
      <c r="H280" s="305">
        <f>H281+H286+H291+H294+H297</f>
        <v>61741.816000000006</v>
      </c>
    </row>
    <row r="281" spans="1:8" ht="56.25">
      <c r="A281" s="291"/>
      <c r="B281" s="304" t="s">
        <v>355</v>
      </c>
      <c r="C281" s="172" t="s">
        <v>246</v>
      </c>
      <c r="D281" s="173" t="s">
        <v>65</v>
      </c>
      <c r="E281" s="745" t="s">
        <v>57</v>
      </c>
      <c r="F281" s="746" t="s">
        <v>64</v>
      </c>
      <c r="G281" s="150"/>
      <c r="H281" s="305">
        <f>H282</f>
        <v>24340.715999999997</v>
      </c>
    </row>
    <row r="282" spans="1:8" ht="37.5">
      <c r="A282" s="291"/>
      <c r="B282" s="304" t="s">
        <v>67</v>
      </c>
      <c r="C282" s="172" t="s">
        <v>246</v>
      </c>
      <c r="D282" s="173" t="s">
        <v>65</v>
      </c>
      <c r="E282" s="745" t="s">
        <v>57</v>
      </c>
      <c r="F282" s="746" t="s">
        <v>68</v>
      </c>
      <c r="G282" s="150"/>
      <c r="H282" s="305">
        <f>SUM(H283:H285)</f>
        <v>24340.715999999997</v>
      </c>
    </row>
    <row r="283" spans="1:8" ht="93.75">
      <c r="A283" s="291"/>
      <c r="B283" s="304" t="s">
        <v>69</v>
      </c>
      <c r="C283" s="172" t="s">
        <v>246</v>
      </c>
      <c r="D283" s="173" t="s">
        <v>65</v>
      </c>
      <c r="E283" s="745" t="s">
        <v>57</v>
      </c>
      <c r="F283" s="746" t="s">
        <v>68</v>
      </c>
      <c r="G283" s="150" t="s">
        <v>70</v>
      </c>
      <c r="H283" s="305">
        <f>'прил12(ведом 21)'!M234</f>
        <v>23558.6</v>
      </c>
    </row>
    <row r="284" spans="1:8" ht="37.5">
      <c r="A284" s="291"/>
      <c r="B284" s="304" t="s">
        <v>75</v>
      </c>
      <c r="C284" s="172" t="s">
        <v>246</v>
      </c>
      <c r="D284" s="173" t="s">
        <v>65</v>
      </c>
      <c r="E284" s="745" t="s">
        <v>57</v>
      </c>
      <c r="F284" s="746" t="s">
        <v>68</v>
      </c>
      <c r="G284" s="150" t="s">
        <v>76</v>
      </c>
      <c r="H284" s="305">
        <f>'прил12(ведом 21)'!M235</f>
        <v>777.31599999999992</v>
      </c>
    </row>
    <row r="285" spans="1:8" ht="18.75">
      <c r="A285" s="291"/>
      <c r="B285" s="304" t="s">
        <v>77</v>
      </c>
      <c r="C285" s="172" t="s">
        <v>246</v>
      </c>
      <c r="D285" s="173" t="s">
        <v>65</v>
      </c>
      <c r="E285" s="745" t="s">
        <v>57</v>
      </c>
      <c r="F285" s="746" t="s">
        <v>68</v>
      </c>
      <c r="G285" s="150" t="s">
        <v>78</v>
      </c>
      <c r="H285" s="305">
        <f>'прил12(ведом 21)'!M236</f>
        <v>4.8</v>
      </c>
    </row>
    <row r="286" spans="1:8" ht="24.75" customHeight="1">
      <c r="A286" s="291"/>
      <c r="B286" s="304" t="s">
        <v>356</v>
      </c>
      <c r="C286" s="172" t="s">
        <v>246</v>
      </c>
      <c r="D286" s="173" t="s">
        <v>65</v>
      </c>
      <c r="E286" s="745" t="s">
        <v>59</v>
      </c>
      <c r="F286" s="746" t="s">
        <v>64</v>
      </c>
      <c r="G286" s="150"/>
      <c r="H286" s="305">
        <f>H287+H289</f>
        <v>33619.300000000003</v>
      </c>
    </row>
    <row r="287" spans="1:8" ht="37.5">
      <c r="A287" s="291"/>
      <c r="B287" s="164" t="s">
        <v>298</v>
      </c>
      <c r="C287" s="172" t="s">
        <v>246</v>
      </c>
      <c r="D287" s="173" t="s">
        <v>65</v>
      </c>
      <c r="E287" s="745" t="s">
        <v>59</v>
      </c>
      <c r="F287" s="746" t="s">
        <v>578</v>
      </c>
      <c r="G287" s="150"/>
      <c r="H287" s="305">
        <f>H288</f>
        <v>5500</v>
      </c>
    </row>
    <row r="288" spans="1:8" ht="18.75">
      <c r="A288" s="291"/>
      <c r="B288" s="164" t="s">
        <v>144</v>
      </c>
      <c r="C288" s="172" t="s">
        <v>246</v>
      </c>
      <c r="D288" s="173" t="s">
        <v>65</v>
      </c>
      <c r="E288" s="745" t="s">
        <v>59</v>
      </c>
      <c r="F288" s="746" t="s">
        <v>578</v>
      </c>
      <c r="G288" s="150" t="s">
        <v>145</v>
      </c>
      <c r="H288" s="305">
        <f>'прил12(ведом 21)'!M255</f>
        <v>5500</v>
      </c>
    </row>
    <row r="289" spans="1:8" ht="37.5">
      <c r="A289" s="291"/>
      <c r="B289" s="164" t="s">
        <v>809</v>
      </c>
      <c r="C289" s="172" t="s">
        <v>246</v>
      </c>
      <c r="D289" s="173" t="s">
        <v>65</v>
      </c>
      <c r="E289" s="745" t="s">
        <v>59</v>
      </c>
      <c r="F289" s="746" t="s">
        <v>810</v>
      </c>
      <c r="G289" s="150"/>
      <c r="H289" s="305">
        <f>H290</f>
        <v>28119.3</v>
      </c>
    </row>
    <row r="290" spans="1:8" ht="18.75">
      <c r="A290" s="291"/>
      <c r="B290" s="164" t="s">
        <v>144</v>
      </c>
      <c r="C290" s="172" t="s">
        <v>246</v>
      </c>
      <c r="D290" s="173" t="s">
        <v>65</v>
      </c>
      <c r="E290" s="745" t="s">
        <v>59</v>
      </c>
      <c r="F290" s="746" t="s">
        <v>810</v>
      </c>
      <c r="G290" s="150" t="s">
        <v>145</v>
      </c>
      <c r="H290" s="305">
        <f>'прил12(ведом 21)'!M261</f>
        <v>28119.3</v>
      </c>
    </row>
    <row r="291" spans="1:8" ht="37.5">
      <c r="A291" s="291"/>
      <c r="B291" s="304" t="s">
        <v>428</v>
      </c>
      <c r="C291" s="172" t="s">
        <v>246</v>
      </c>
      <c r="D291" s="173" t="s">
        <v>65</v>
      </c>
      <c r="E291" s="745" t="s">
        <v>84</v>
      </c>
      <c r="F291" s="746" t="s">
        <v>64</v>
      </c>
      <c r="G291" s="150"/>
      <c r="H291" s="305">
        <f>H292</f>
        <v>3056.5</v>
      </c>
    </row>
    <row r="292" spans="1:8" ht="56.25">
      <c r="A292" s="291"/>
      <c r="B292" s="304" t="s">
        <v>429</v>
      </c>
      <c r="C292" s="172" t="s">
        <v>246</v>
      </c>
      <c r="D292" s="173" t="s">
        <v>65</v>
      </c>
      <c r="E292" s="745" t="s">
        <v>84</v>
      </c>
      <c r="F292" s="746" t="s">
        <v>126</v>
      </c>
      <c r="G292" s="150"/>
      <c r="H292" s="305">
        <f>H293</f>
        <v>3056.5</v>
      </c>
    </row>
    <row r="293" spans="1:8" ht="37.5">
      <c r="A293" s="291"/>
      <c r="B293" s="304" t="s">
        <v>75</v>
      </c>
      <c r="C293" s="172" t="s">
        <v>246</v>
      </c>
      <c r="D293" s="173" t="s">
        <v>65</v>
      </c>
      <c r="E293" s="745" t="s">
        <v>84</v>
      </c>
      <c r="F293" s="746" t="s">
        <v>126</v>
      </c>
      <c r="G293" s="150" t="s">
        <v>76</v>
      </c>
      <c r="H293" s="305">
        <f>'прил12(ведом 21)'!M245</f>
        <v>3056.5</v>
      </c>
    </row>
    <row r="294" spans="1:8" ht="56.25">
      <c r="A294" s="291"/>
      <c r="B294" s="164" t="s">
        <v>387</v>
      </c>
      <c r="C294" s="172" t="s">
        <v>246</v>
      </c>
      <c r="D294" s="173" t="s">
        <v>65</v>
      </c>
      <c r="E294" s="745" t="s">
        <v>72</v>
      </c>
      <c r="F294" s="746" t="s">
        <v>64</v>
      </c>
      <c r="G294" s="150"/>
      <c r="H294" s="305">
        <f>H295</f>
        <v>707.3</v>
      </c>
    </row>
    <row r="295" spans="1:8" ht="37.5">
      <c r="A295" s="291"/>
      <c r="B295" s="164" t="s">
        <v>463</v>
      </c>
      <c r="C295" s="172" t="s">
        <v>246</v>
      </c>
      <c r="D295" s="173" t="s">
        <v>65</v>
      </c>
      <c r="E295" s="745" t="s">
        <v>72</v>
      </c>
      <c r="F295" s="746" t="s">
        <v>462</v>
      </c>
      <c r="G295" s="150"/>
      <c r="H295" s="305">
        <f>H296</f>
        <v>707.3</v>
      </c>
    </row>
    <row r="296" spans="1:8" ht="37.5">
      <c r="A296" s="291"/>
      <c r="B296" s="164" t="s">
        <v>75</v>
      </c>
      <c r="C296" s="172" t="s">
        <v>246</v>
      </c>
      <c r="D296" s="173" t="s">
        <v>65</v>
      </c>
      <c r="E296" s="745" t="s">
        <v>72</v>
      </c>
      <c r="F296" s="746" t="s">
        <v>462</v>
      </c>
      <c r="G296" s="150" t="s">
        <v>70</v>
      </c>
      <c r="H296" s="305">
        <f>'прил12(ведом 21)'!M239</f>
        <v>707.3</v>
      </c>
    </row>
    <row r="297" spans="1:8" ht="37.5">
      <c r="A297" s="291"/>
      <c r="B297" s="164" t="s">
        <v>804</v>
      </c>
      <c r="C297" s="172" t="s">
        <v>246</v>
      </c>
      <c r="D297" s="173" t="s">
        <v>65</v>
      </c>
      <c r="E297" s="745" t="s">
        <v>86</v>
      </c>
      <c r="F297" s="746" t="s">
        <v>64</v>
      </c>
      <c r="G297" s="150"/>
      <c r="H297" s="305">
        <f>H298</f>
        <v>18</v>
      </c>
    </row>
    <row r="298" spans="1:8" ht="18.75">
      <c r="A298" s="291"/>
      <c r="B298" s="164" t="s">
        <v>802</v>
      </c>
      <c r="C298" s="172" t="s">
        <v>246</v>
      </c>
      <c r="D298" s="173" t="s">
        <v>65</v>
      </c>
      <c r="E298" s="745" t="s">
        <v>86</v>
      </c>
      <c r="F298" s="746" t="s">
        <v>803</v>
      </c>
      <c r="G298" s="150"/>
      <c r="H298" s="305">
        <f>H299</f>
        <v>18</v>
      </c>
    </row>
    <row r="299" spans="1:8" ht="37.5">
      <c r="A299" s="291"/>
      <c r="B299" s="164" t="s">
        <v>75</v>
      </c>
      <c r="C299" s="172" t="s">
        <v>246</v>
      </c>
      <c r="D299" s="173" t="s">
        <v>65</v>
      </c>
      <c r="E299" s="745" t="s">
        <v>86</v>
      </c>
      <c r="F299" s="746" t="s">
        <v>803</v>
      </c>
      <c r="G299" s="150" t="s">
        <v>76</v>
      </c>
      <c r="H299" s="305">
        <f>'прил12(ведом 21)'!M248</f>
        <v>18</v>
      </c>
    </row>
    <row r="300" spans="1:8" ht="18.75">
      <c r="A300" s="291"/>
      <c r="B300" s="304"/>
      <c r="C300" s="173"/>
      <c r="D300" s="173"/>
      <c r="E300" s="173"/>
      <c r="F300" s="330"/>
      <c r="G300" s="150"/>
      <c r="H300" s="305"/>
    </row>
    <row r="301" spans="1:8" s="303" customFormat="1" ht="56.25">
      <c r="A301" s="297">
        <v>7</v>
      </c>
      <c r="B301" s="331" t="s">
        <v>247</v>
      </c>
      <c r="C301" s="332" t="s">
        <v>248</v>
      </c>
      <c r="D301" s="315" t="s">
        <v>62</v>
      </c>
      <c r="E301" s="315" t="s">
        <v>63</v>
      </c>
      <c r="F301" s="316" t="s">
        <v>64</v>
      </c>
      <c r="G301" s="333"/>
      <c r="H301" s="302">
        <f>H302+H312+H330</f>
        <v>34590.399999999994</v>
      </c>
    </row>
    <row r="302" spans="1:8" ht="37.5">
      <c r="A302" s="329"/>
      <c r="B302" s="334" t="s">
        <v>249</v>
      </c>
      <c r="C302" s="335" t="s">
        <v>248</v>
      </c>
      <c r="D302" s="178" t="s">
        <v>65</v>
      </c>
      <c r="E302" s="178" t="s">
        <v>63</v>
      </c>
      <c r="F302" s="179" t="s">
        <v>64</v>
      </c>
      <c r="G302" s="741"/>
      <c r="H302" s="305">
        <f>H303+H308</f>
        <v>11467.300000000001</v>
      </c>
    </row>
    <row r="303" spans="1:8" ht="75" customHeight="1">
      <c r="A303" s="329"/>
      <c r="B303" s="334" t="s">
        <v>349</v>
      </c>
      <c r="C303" s="336" t="s">
        <v>248</v>
      </c>
      <c r="D303" s="175" t="s">
        <v>65</v>
      </c>
      <c r="E303" s="175" t="s">
        <v>57</v>
      </c>
      <c r="F303" s="176" t="s">
        <v>64</v>
      </c>
      <c r="G303" s="174"/>
      <c r="H303" s="305">
        <f>H304+H306</f>
        <v>1335.5</v>
      </c>
    </row>
    <row r="304" spans="1:8" ht="33" customHeight="1">
      <c r="A304" s="329"/>
      <c r="B304" s="334" t="s">
        <v>250</v>
      </c>
      <c r="C304" s="336" t="s">
        <v>248</v>
      </c>
      <c r="D304" s="175" t="s">
        <v>65</v>
      </c>
      <c r="E304" s="175" t="s">
        <v>57</v>
      </c>
      <c r="F304" s="176" t="s">
        <v>350</v>
      </c>
      <c r="G304" s="174"/>
      <c r="H304" s="305">
        <f>H305</f>
        <v>333.4</v>
      </c>
    </row>
    <row r="305" spans="1:8" ht="37.5">
      <c r="A305" s="329"/>
      <c r="B305" s="304" t="s">
        <v>75</v>
      </c>
      <c r="C305" s="336" t="s">
        <v>248</v>
      </c>
      <c r="D305" s="175" t="s">
        <v>65</v>
      </c>
      <c r="E305" s="175" t="s">
        <v>57</v>
      </c>
      <c r="F305" s="176" t="s">
        <v>350</v>
      </c>
      <c r="G305" s="174" t="s">
        <v>76</v>
      </c>
      <c r="H305" s="305">
        <f>'прил12(ведом 21)'!M282</f>
        <v>333.4</v>
      </c>
    </row>
    <row r="306" spans="1:8" ht="37.5">
      <c r="A306" s="329"/>
      <c r="B306" s="171" t="s">
        <v>459</v>
      </c>
      <c r="C306" s="180" t="s">
        <v>248</v>
      </c>
      <c r="D306" s="175" t="s">
        <v>65</v>
      </c>
      <c r="E306" s="175" t="s">
        <v>57</v>
      </c>
      <c r="F306" s="176" t="s">
        <v>458</v>
      </c>
      <c r="G306" s="174"/>
      <c r="H306" s="305">
        <f>H307</f>
        <v>1002.1</v>
      </c>
    </row>
    <row r="307" spans="1:8" ht="37.5">
      <c r="A307" s="329"/>
      <c r="B307" s="164" t="s">
        <v>75</v>
      </c>
      <c r="C307" s="180" t="s">
        <v>248</v>
      </c>
      <c r="D307" s="175" t="s">
        <v>65</v>
      </c>
      <c r="E307" s="175" t="s">
        <v>57</v>
      </c>
      <c r="F307" s="176" t="s">
        <v>458</v>
      </c>
      <c r="G307" s="174" t="s">
        <v>76</v>
      </c>
      <c r="H307" s="305">
        <f>'прил12(ведом 21)'!M322</f>
        <v>1002.1</v>
      </c>
    </row>
    <row r="308" spans="1:8" ht="37.5">
      <c r="A308" s="329"/>
      <c r="B308" s="304" t="s">
        <v>403</v>
      </c>
      <c r="C308" s="336" t="s">
        <v>248</v>
      </c>
      <c r="D308" s="175" t="s">
        <v>65</v>
      </c>
      <c r="E308" s="175" t="s">
        <v>59</v>
      </c>
      <c r="F308" s="176" t="s">
        <v>64</v>
      </c>
      <c r="G308" s="174"/>
      <c r="H308" s="305">
        <f>H309</f>
        <v>10131.800000000001</v>
      </c>
    </row>
    <row r="309" spans="1:8" ht="37.5">
      <c r="A309" s="329"/>
      <c r="B309" s="304" t="s">
        <v>402</v>
      </c>
      <c r="C309" s="336" t="s">
        <v>248</v>
      </c>
      <c r="D309" s="175" t="s">
        <v>65</v>
      </c>
      <c r="E309" s="175" t="s">
        <v>59</v>
      </c>
      <c r="F309" s="176" t="s">
        <v>401</v>
      </c>
      <c r="G309" s="174"/>
      <c r="H309" s="305">
        <f>SUM(H310:H311)</f>
        <v>10131.800000000001</v>
      </c>
    </row>
    <row r="310" spans="1:8" ht="37.5">
      <c r="A310" s="329"/>
      <c r="B310" s="304" t="s">
        <v>75</v>
      </c>
      <c r="C310" s="336" t="s">
        <v>248</v>
      </c>
      <c r="D310" s="175" t="s">
        <v>65</v>
      </c>
      <c r="E310" s="175" t="s">
        <v>59</v>
      </c>
      <c r="F310" s="176" t="s">
        <v>401</v>
      </c>
      <c r="G310" s="174" t="s">
        <v>76</v>
      </c>
      <c r="H310" s="305">
        <f>'прил12(ведом 21)'!M285</f>
        <v>3415.7000000000003</v>
      </c>
    </row>
    <row r="311" spans="1:8" ht="37.5">
      <c r="A311" s="329"/>
      <c r="B311" s="164" t="s">
        <v>225</v>
      </c>
      <c r="C311" s="336" t="s">
        <v>248</v>
      </c>
      <c r="D311" s="175" t="s">
        <v>65</v>
      </c>
      <c r="E311" s="175" t="s">
        <v>59</v>
      </c>
      <c r="F311" s="176" t="s">
        <v>401</v>
      </c>
      <c r="G311" s="174" t="s">
        <v>226</v>
      </c>
      <c r="H311" s="305">
        <f>'прил12(ведом 21)'!M286</f>
        <v>6716.1</v>
      </c>
    </row>
    <row r="312" spans="1:8" ht="37.5">
      <c r="A312" s="329"/>
      <c r="B312" s="334" t="s">
        <v>251</v>
      </c>
      <c r="C312" s="180" t="s">
        <v>248</v>
      </c>
      <c r="D312" s="175" t="s">
        <v>110</v>
      </c>
      <c r="E312" s="175" t="s">
        <v>63</v>
      </c>
      <c r="F312" s="176" t="s">
        <v>64</v>
      </c>
      <c r="G312" s="174"/>
      <c r="H312" s="305">
        <f>H313+H324+H327</f>
        <v>22598.099999999995</v>
      </c>
    </row>
    <row r="313" spans="1:8" ht="75">
      <c r="A313" s="329"/>
      <c r="B313" s="334" t="s">
        <v>353</v>
      </c>
      <c r="C313" s="180" t="s">
        <v>248</v>
      </c>
      <c r="D313" s="175" t="s">
        <v>110</v>
      </c>
      <c r="E313" s="175" t="s">
        <v>57</v>
      </c>
      <c r="F313" s="176" t="s">
        <v>64</v>
      </c>
      <c r="G313" s="174"/>
      <c r="H313" s="305">
        <f>H314+H318+H322</f>
        <v>21818.799999999996</v>
      </c>
    </row>
    <row r="314" spans="1:8" ht="37.5">
      <c r="A314" s="329"/>
      <c r="B314" s="334" t="s">
        <v>67</v>
      </c>
      <c r="C314" s="177" t="s">
        <v>248</v>
      </c>
      <c r="D314" s="178" t="s">
        <v>110</v>
      </c>
      <c r="E314" s="178" t="s">
        <v>57</v>
      </c>
      <c r="F314" s="179" t="s">
        <v>68</v>
      </c>
      <c r="G314" s="174"/>
      <c r="H314" s="305">
        <f>SUM(H315:H317)</f>
        <v>12882.399999999998</v>
      </c>
    </row>
    <row r="315" spans="1:8" ht="93.75">
      <c r="A315" s="329"/>
      <c r="B315" s="334" t="s">
        <v>69</v>
      </c>
      <c r="C315" s="180" t="s">
        <v>248</v>
      </c>
      <c r="D315" s="175" t="s">
        <v>110</v>
      </c>
      <c r="E315" s="175" t="s">
        <v>57</v>
      </c>
      <c r="F315" s="176" t="s">
        <v>68</v>
      </c>
      <c r="G315" s="174" t="s">
        <v>70</v>
      </c>
      <c r="H315" s="305">
        <f>'прил12(ведом 21)'!M290</f>
        <v>12567.3</v>
      </c>
    </row>
    <row r="316" spans="1:8" ht="37.5">
      <c r="A316" s="329"/>
      <c r="B316" s="304" t="s">
        <v>75</v>
      </c>
      <c r="C316" s="180" t="s">
        <v>248</v>
      </c>
      <c r="D316" s="175" t="s">
        <v>110</v>
      </c>
      <c r="E316" s="175" t="s">
        <v>57</v>
      </c>
      <c r="F316" s="176" t="s">
        <v>68</v>
      </c>
      <c r="G316" s="174" t="s">
        <v>76</v>
      </c>
      <c r="H316" s="305">
        <f>'прил12(ведом 21)'!M291</f>
        <v>313.8</v>
      </c>
    </row>
    <row r="317" spans="1:8" ht="18.75">
      <c r="A317" s="329"/>
      <c r="B317" s="334" t="s">
        <v>77</v>
      </c>
      <c r="C317" s="180" t="s">
        <v>248</v>
      </c>
      <c r="D317" s="175" t="s">
        <v>110</v>
      </c>
      <c r="E317" s="175" t="s">
        <v>57</v>
      </c>
      <c r="F317" s="176" t="s">
        <v>68</v>
      </c>
      <c r="G317" s="174" t="s">
        <v>78</v>
      </c>
      <c r="H317" s="305">
        <f>'прил12(ведом 21)'!M292</f>
        <v>1.3</v>
      </c>
    </row>
    <row r="318" spans="1:8" ht="37.5">
      <c r="A318" s="329"/>
      <c r="B318" s="304" t="s">
        <v>800</v>
      </c>
      <c r="C318" s="180" t="s">
        <v>248</v>
      </c>
      <c r="D318" s="175" t="s">
        <v>110</v>
      </c>
      <c r="E318" s="175" t="s">
        <v>57</v>
      </c>
      <c r="F318" s="176" t="s">
        <v>112</v>
      </c>
      <c r="G318" s="174"/>
      <c r="H318" s="305">
        <f>SUM(H319:H321)</f>
        <v>8901.9</v>
      </c>
    </row>
    <row r="319" spans="1:8" ht="93.75">
      <c r="A319" s="329"/>
      <c r="B319" s="334" t="s">
        <v>69</v>
      </c>
      <c r="C319" s="180" t="s">
        <v>248</v>
      </c>
      <c r="D319" s="175" t="s">
        <v>110</v>
      </c>
      <c r="E319" s="175" t="s">
        <v>57</v>
      </c>
      <c r="F319" s="176" t="s">
        <v>112</v>
      </c>
      <c r="G319" s="174" t="s">
        <v>70</v>
      </c>
      <c r="H319" s="305">
        <f>'прил12(ведом 21)'!M294</f>
        <v>6814.6</v>
      </c>
    </row>
    <row r="320" spans="1:8" ht="37.5">
      <c r="A320" s="329"/>
      <c r="B320" s="304" t="s">
        <v>75</v>
      </c>
      <c r="C320" s="177" t="s">
        <v>248</v>
      </c>
      <c r="D320" s="178" t="s">
        <v>110</v>
      </c>
      <c r="E320" s="178" t="s">
        <v>57</v>
      </c>
      <c r="F320" s="179" t="s">
        <v>112</v>
      </c>
      <c r="G320" s="174" t="s">
        <v>76</v>
      </c>
      <c r="H320" s="305">
        <f>'прил12(ведом 21)'!M295</f>
        <v>2062.6999999999998</v>
      </c>
    </row>
    <row r="321" spans="1:8" ht="18.75">
      <c r="A321" s="329"/>
      <c r="B321" s="334" t="s">
        <v>77</v>
      </c>
      <c r="C321" s="180" t="s">
        <v>248</v>
      </c>
      <c r="D321" s="175" t="s">
        <v>110</v>
      </c>
      <c r="E321" s="175" t="s">
        <v>57</v>
      </c>
      <c r="F321" s="176" t="s">
        <v>112</v>
      </c>
      <c r="G321" s="174" t="s">
        <v>78</v>
      </c>
      <c r="H321" s="305">
        <f>'прил12(ведом 21)'!M296</f>
        <v>24.6</v>
      </c>
    </row>
    <row r="322" spans="1:8" ht="56.25">
      <c r="A322" s="329"/>
      <c r="B322" s="164" t="s">
        <v>431</v>
      </c>
      <c r="C322" s="180" t="s">
        <v>248</v>
      </c>
      <c r="D322" s="175" t="s">
        <v>110</v>
      </c>
      <c r="E322" s="175" t="s">
        <v>57</v>
      </c>
      <c r="F322" s="176" t="s">
        <v>430</v>
      </c>
      <c r="G322" s="174"/>
      <c r="H322" s="305">
        <f>H323</f>
        <v>34.5</v>
      </c>
    </row>
    <row r="323" spans="1:8" ht="37.5">
      <c r="A323" s="329"/>
      <c r="B323" s="164" t="s">
        <v>75</v>
      </c>
      <c r="C323" s="180" t="s">
        <v>248</v>
      </c>
      <c r="D323" s="175" t="s">
        <v>110</v>
      </c>
      <c r="E323" s="175" t="s">
        <v>57</v>
      </c>
      <c r="F323" s="337" t="s">
        <v>430</v>
      </c>
      <c r="G323" s="174" t="s">
        <v>76</v>
      </c>
      <c r="H323" s="305">
        <f>'прил12(ведом 21)'!M298</f>
        <v>34.5</v>
      </c>
    </row>
    <row r="324" spans="1:8" ht="37.5">
      <c r="A324" s="329"/>
      <c r="B324" s="338" t="s">
        <v>428</v>
      </c>
      <c r="C324" s="339" t="s">
        <v>248</v>
      </c>
      <c r="D324" s="340" t="s">
        <v>110</v>
      </c>
      <c r="E324" s="340" t="s">
        <v>59</v>
      </c>
      <c r="F324" s="341" t="s">
        <v>64</v>
      </c>
      <c r="G324" s="342"/>
      <c r="H324" s="305">
        <f>H325</f>
        <v>758.8</v>
      </c>
    </row>
    <row r="325" spans="1:8" ht="56.25">
      <c r="A325" s="329"/>
      <c r="B325" s="343" t="s">
        <v>429</v>
      </c>
      <c r="C325" s="339" t="s">
        <v>248</v>
      </c>
      <c r="D325" s="340" t="s">
        <v>110</v>
      </c>
      <c r="E325" s="340" t="s">
        <v>59</v>
      </c>
      <c r="F325" s="341" t="s">
        <v>126</v>
      </c>
      <c r="G325" s="344"/>
      <c r="H325" s="305">
        <f>H326</f>
        <v>758.8</v>
      </c>
    </row>
    <row r="326" spans="1:8" ht="37.5">
      <c r="A326" s="329"/>
      <c r="B326" s="345" t="s">
        <v>75</v>
      </c>
      <c r="C326" s="346" t="s">
        <v>248</v>
      </c>
      <c r="D326" s="340" t="s">
        <v>110</v>
      </c>
      <c r="E326" s="340" t="s">
        <v>59</v>
      </c>
      <c r="F326" s="341" t="s">
        <v>126</v>
      </c>
      <c r="G326" s="344" t="s">
        <v>76</v>
      </c>
      <c r="H326" s="305">
        <f>'прил12(ведом 21)'!M301</f>
        <v>758.8</v>
      </c>
    </row>
    <row r="327" spans="1:8" ht="27" customHeight="1">
      <c r="A327" s="329"/>
      <c r="B327" s="334" t="s">
        <v>464</v>
      </c>
      <c r="C327" s="347" t="s">
        <v>248</v>
      </c>
      <c r="D327" s="348" t="s">
        <v>110</v>
      </c>
      <c r="E327" s="349" t="s">
        <v>84</v>
      </c>
      <c r="F327" s="350" t="s">
        <v>64</v>
      </c>
      <c r="G327" s="351"/>
      <c r="H327" s="305">
        <f>H328</f>
        <v>20.5</v>
      </c>
    </row>
    <row r="328" spans="1:8" ht="37.5">
      <c r="A328" s="329"/>
      <c r="B328" s="334" t="s">
        <v>402</v>
      </c>
      <c r="C328" s="347" t="s">
        <v>248</v>
      </c>
      <c r="D328" s="348" t="s">
        <v>110</v>
      </c>
      <c r="E328" s="352" t="s">
        <v>84</v>
      </c>
      <c r="F328" s="353" t="s">
        <v>401</v>
      </c>
      <c r="G328" s="351"/>
      <c r="H328" s="305">
        <f>H329</f>
        <v>20.5</v>
      </c>
    </row>
    <row r="329" spans="1:8" ht="18.75">
      <c r="A329" s="329"/>
      <c r="B329" s="171" t="s">
        <v>77</v>
      </c>
      <c r="C329" s="180" t="s">
        <v>248</v>
      </c>
      <c r="D329" s="349" t="s">
        <v>110</v>
      </c>
      <c r="E329" s="349" t="s">
        <v>84</v>
      </c>
      <c r="F329" s="350" t="s">
        <v>401</v>
      </c>
      <c r="G329" s="351" t="s">
        <v>78</v>
      </c>
      <c r="H329" s="305">
        <f>'прил12(ведом 21)'!M304</f>
        <v>20.5</v>
      </c>
    </row>
    <row r="330" spans="1:8" ht="37.5">
      <c r="A330" s="329"/>
      <c r="B330" s="418" t="s">
        <v>404</v>
      </c>
      <c r="C330" s="339" t="s">
        <v>248</v>
      </c>
      <c r="D330" s="340" t="s">
        <v>50</v>
      </c>
      <c r="E330" s="340" t="s">
        <v>63</v>
      </c>
      <c r="F330" s="341" t="s">
        <v>64</v>
      </c>
      <c r="G330" s="351"/>
      <c r="H330" s="305">
        <f>H331</f>
        <v>525</v>
      </c>
    </row>
    <row r="331" spans="1:8" ht="37.5">
      <c r="A331" s="329"/>
      <c r="B331" s="792" t="s">
        <v>464</v>
      </c>
      <c r="C331" s="795" t="s">
        <v>248</v>
      </c>
      <c r="D331" s="796" t="s">
        <v>50</v>
      </c>
      <c r="E331" s="796" t="s">
        <v>248</v>
      </c>
      <c r="F331" s="797" t="s">
        <v>64</v>
      </c>
      <c r="G331" s="351"/>
      <c r="H331" s="305">
        <f>H332</f>
        <v>525</v>
      </c>
    </row>
    <row r="332" spans="1:8" ht="37.5">
      <c r="A332" s="329"/>
      <c r="B332" s="800" t="s">
        <v>402</v>
      </c>
      <c r="C332" s="795" t="s">
        <v>248</v>
      </c>
      <c r="D332" s="796" t="s">
        <v>50</v>
      </c>
      <c r="E332" s="796" t="s">
        <v>248</v>
      </c>
      <c r="F332" s="797" t="s">
        <v>401</v>
      </c>
      <c r="G332" s="351"/>
      <c r="H332" s="305">
        <f>H333</f>
        <v>525</v>
      </c>
    </row>
    <row r="333" spans="1:8" ht="37.5">
      <c r="A333" s="329"/>
      <c r="B333" s="801" t="s">
        <v>75</v>
      </c>
      <c r="C333" s="795" t="s">
        <v>248</v>
      </c>
      <c r="D333" s="796" t="s">
        <v>50</v>
      </c>
      <c r="E333" s="796" t="s">
        <v>248</v>
      </c>
      <c r="F333" s="797" t="s">
        <v>401</v>
      </c>
      <c r="G333" s="351" t="s">
        <v>76</v>
      </c>
      <c r="H333" s="305">
        <f>'прил12(ведом 21)'!M308</f>
        <v>525</v>
      </c>
    </row>
    <row r="334" spans="1:8" ht="18.75">
      <c r="A334" s="329"/>
      <c r="B334" s="313"/>
      <c r="C334" s="175"/>
      <c r="D334" s="739"/>
      <c r="E334" s="739"/>
      <c r="F334" s="740"/>
      <c r="G334" s="289"/>
      <c r="H334" s="305"/>
    </row>
    <row r="335" spans="1:8" s="303" customFormat="1" ht="56.25">
      <c r="A335" s="314">
        <v>8</v>
      </c>
      <c r="B335" s="331" t="s">
        <v>339</v>
      </c>
      <c r="C335" s="315" t="s">
        <v>100</v>
      </c>
      <c r="D335" s="315" t="s">
        <v>62</v>
      </c>
      <c r="E335" s="315" t="s">
        <v>63</v>
      </c>
      <c r="F335" s="316" t="s">
        <v>64</v>
      </c>
      <c r="G335" s="301"/>
      <c r="H335" s="302">
        <f>H336</f>
        <v>119922.79999999997</v>
      </c>
    </row>
    <row r="336" spans="1:8" ht="24.75" customHeight="1">
      <c r="A336" s="291"/>
      <c r="B336" s="304" t="s">
        <v>404</v>
      </c>
      <c r="C336" s="336" t="s">
        <v>100</v>
      </c>
      <c r="D336" s="175" t="s">
        <v>65</v>
      </c>
      <c r="E336" s="175" t="s">
        <v>63</v>
      </c>
      <c r="F336" s="746" t="s">
        <v>64</v>
      </c>
      <c r="G336" s="289"/>
      <c r="H336" s="305">
        <f>H337+H352+H357+H367</f>
        <v>119922.79999999997</v>
      </c>
    </row>
    <row r="337" spans="1:8" ht="37.5">
      <c r="A337" s="291"/>
      <c r="B337" s="304" t="s">
        <v>325</v>
      </c>
      <c r="C337" s="744" t="s">
        <v>100</v>
      </c>
      <c r="D337" s="745" t="s">
        <v>65</v>
      </c>
      <c r="E337" s="745" t="s">
        <v>57</v>
      </c>
      <c r="F337" s="746" t="s">
        <v>64</v>
      </c>
      <c r="G337" s="289"/>
      <c r="H337" s="305">
        <f>H338+H341+H344+H347+H350</f>
        <v>59201.099999999991</v>
      </c>
    </row>
    <row r="338" spans="1:8" ht="131.25">
      <c r="A338" s="291"/>
      <c r="B338" s="355" t="s">
        <v>440</v>
      </c>
      <c r="C338" s="744" t="s">
        <v>100</v>
      </c>
      <c r="D338" s="745" t="s">
        <v>65</v>
      </c>
      <c r="E338" s="745" t="s">
        <v>57</v>
      </c>
      <c r="F338" s="746" t="s">
        <v>341</v>
      </c>
      <c r="G338" s="150"/>
      <c r="H338" s="305">
        <f>SUM(H339:H340)</f>
        <v>32982</v>
      </c>
    </row>
    <row r="339" spans="1:8" ht="37.5">
      <c r="A339" s="291"/>
      <c r="B339" s="356" t="s">
        <v>75</v>
      </c>
      <c r="C339" s="744" t="s">
        <v>100</v>
      </c>
      <c r="D339" s="745" t="s">
        <v>65</v>
      </c>
      <c r="E339" s="745" t="s">
        <v>57</v>
      </c>
      <c r="F339" s="746" t="s">
        <v>341</v>
      </c>
      <c r="G339" s="150" t="s">
        <v>76</v>
      </c>
      <c r="H339" s="305">
        <f>'прил12(ведом 21)'!M676</f>
        <v>164.9</v>
      </c>
    </row>
    <row r="340" spans="1:8" ht="37.5">
      <c r="A340" s="291"/>
      <c r="B340" s="304" t="s">
        <v>141</v>
      </c>
      <c r="C340" s="744" t="s">
        <v>100</v>
      </c>
      <c r="D340" s="745" t="s">
        <v>65</v>
      </c>
      <c r="E340" s="745" t="s">
        <v>57</v>
      </c>
      <c r="F340" s="746" t="s">
        <v>341</v>
      </c>
      <c r="G340" s="150" t="s">
        <v>142</v>
      </c>
      <c r="H340" s="305">
        <f>'прил12(ведом 21)'!M677</f>
        <v>32817.1</v>
      </c>
    </row>
    <row r="341" spans="1:8" ht="93.75">
      <c r="A341" s="291"/>
      <c r="B341" s="304" t="s">
        <v>441</v>
      </c>
      <c r="C341" s="744" t="s">
        <v>100</v>
      </c>
      <c r="D341" s="745" t="s">
        <v>65</v>
      </c>
      <c r="E341" s="745" t="s">
        <v>57</v>
      </c>
      <c r="F341" s="746" t="s">
        <v>342</v>
      </c>
      <c r="G341" s="150"/>
      <c r="H341" s="305">
        <f>SUM(H342:H343)</f>
        <v>25619.1</v>
      </c>
    </row>
    <row r="342" spans="1:8" ht="37.5">
      <c r="A342" s="291"/>
      <c r="B342" s="356" t="s">
        <v>75</v>
      </c>
      <c r="C342" s="744" t="s">
        <v>100</v>
      </c>
      <c r="D342" s="745" t="s">
        <v>65</v>
      </c>
      <c r="E342" s="745" t="s">
        <v>57</v>
      </c>
      <c r="F342" s="746" t="s">
        <v>342</v>
      </c>
      <c r="G342" s="150" t="s">
        <v>76</v>
      </c>
      <c r="H342" s="305">
        <f>'прил12(ведом 21)'!M679</f>
        <v>128.1</v>
      </c>
    </row>
    <row r="343" spans="1:8" ht="37.5">
      <c r="A343" s="291"/>
      <c r="B343" s="304" t="s">
        <v>141</v>
      </c>
      <c r="C343" s="744" t="s">
        <v>100</v>
      </c>
      <c r="D343" s="745" t="s">
        <v>65</v>
      </c>
      <c r="E343" s="745" t="s">
        <v>57</v>
      </c>
      <c r="F343" s="746" t="s">
        <v>342</v>
      </c>
      <c r="G343" s="150" t="s">
        <v>142</v>
      </c>
      <c r="H343" s="305">
        <f>'прил12(ведом 21)'!M680</f>
        <v>25491</v>
      </c>
    </row>
    <row r="344" spans="1:8" ht="93.75">
      <c r="A344" s="291"/>
      <c r="B344" s="304" t="s">
        <v>442</v>
      </c>
      <c r="C344" s="744" t="s">
        <v>100</v>
      </c>
      <c r="D344" s="745" t="s">
        <v>65</v>
      </c>
      <c r="E344" s="745" t="s">
        <v>57</v>
      </c>
      <c r="F344" s="746" t="s">
        <v>343</v>
      </c>
      <c r="G344" s="150"/>
      <c r="H344" s="305">
        <f>SUM(H345:H346)</f>
        <v>243.2</v>
      </c>
    </row>
    <row r="345" spans="1:8" ht="37.5">
      <c r="A345" s="291"/>
      <c r="B345" s="304" t="s">
        <v>75</v>
      </c>
      <c r="C345" s="744" t="s">
        <v>100</v>
      </c>
      <c r="D345" s="745" t="s">
        <v>65</v>
      </c>
      <c r="E345" s="745" t="s">
        <v>57</v>
      </c>
      <c r="F345" s="746" t="s">
        <v>343</v>
      </c>
      <c r="G345" s="150" t="s">
        <v>76</v>
      </c>
      <c r="H345" s="305">
        <f>'прил12(ведом 21)'!M682</f>
        <v>1.2</v>
      </c>
    </row>
    <row r="346" spans="1:8" ht="37.5">
      <c r="A346" s="291"/>
      <c r="B346" s="304" t="s">
        <v>141</v>
      </c>
      <c r="C346" s="744" t="s">
        <v>100</v>
      </c>
      <c r="D346" s="745" t="s">
        <v>65</v>
      </c>
      <c r="E346" s="745" t="s">
        <v>57</v>
      </c>
      <c r="F346" s="746" t="s">
        <v>343</v>
      </c>
      <c r="G346" s="150" t="s">
        <v>142</v>
      </c>
      <c r="H346" s="305">
        <f>'прил12(ведом 21)'!M683</f>
        <v>242</v>
      </c>
    </row>
    <row r="347" spans="1:8" ht="112.5">
      <c r="A347" s="291"/>
      <c r="B347" s="304" t="s">
        <v>448</v>
      </c>
      <c r="C347" s="744" t="s">
        <v>100</v>
      </c>
      <c r="D347" s="745" t="s">
        <v>65</v>
      </c>
      <c r="E347" s="745" t="s">
        <v>57</v>
      </c>
      <c r="F347" s="746" t="s">
        <v>344</v>
      </c>
      <c r="G347" s="150"/>
      <c r="H347" s="305">
        <f>SUM(H348:H349)</f>
        <v>346.7</v>
      </c>
    </row>
    <row r="348" spans="1:8" ht="37.5">
      <c r="A348" s="291"/>
      <c r="B348" s="304" t="s">
        <v>75</v>
      </c>
      <c r="C348" s="744" t="s">
        <v>100</v>
      </c>
      <c r="D348" s="745" t="s">
        <v>65</v>
      </c>
      <c r="E348" s="745" t="s">
        <v>57</v>
      </c>
      <c r="F348" s="746" t="s">
        <v>344</v>
      </c>
      <c r="G348" s="150" t="s">
        <v>76</v>
      </c>
      <c r="H348" s="305">
        <f>'прил12(ведом 21)'!M685</f>
        <v>1.7</v>
      </c>
    </row>
    <row r="349" spans="1:8" ht="17.25" customHeight="1">
      <c r="A349" s="291"/>
      <c r="B349" s="304" t="s">
        <v>141</v>
      </c>
      <c r="C349" s="744" t="s">
        <v>100</v>
      </c>
      <c r="D349" s="745" t="s">
        <v>65</v>
      </c>
      <c r="E349" s="745" t="s">
        <v>57</v>
      </c>
      <c r="F349" s="746" t="s">
        <v>344</v>
      </c>
      <c r="G349" s="150" t="s">
        <v>142</v>
      </c>
      <c r="H349" s="305">
        <f>'прил12(ведом 21)'!M686</f>
        <v>345</v>
      </c>
    </row>
    <row r="350" spans="1:8" ht="133.5" customHeight="1">
      <c r="A350" s="291"/>
      <c r="B350" s="357" t="s">
        <v>439</v>
      </c>
      <c r="C350" s="744" t="s">
        <v>100</v>
      </c>
      <c r="D350" s="745" t="s">
        <v>65</v>
      </c>
      <c r="E350" s="745" t="s">
        <v>57</v>
      </c>
      <c r="F350" s="746" t="s">
        <v>340</v>
      </c>
      <c r="G350" s="150"/>
      <c r="H350" s="305">
        <f>H351</f>
        <v>10.1</v>
      </c>
    </row>
    <row r="351" spans="1:8" ht="21.6" customHeight="1">
      <c r="A351" s="291"/>
      <c r="B351" s="164" t="s">
        <v>141</v>
      </c>
      <c r="C351" s="744" t="s">
        <v>100</v>
      </c>
      <c r="D351" s="745" t="s">
        <v>65</v>
      </c>
      <c r="E351" s="745" t="s">
        <v>57</v>
      </c>
      <c r="F351" s="746" t="s">
        <v>340</v>
      </c>
      <c r="G351" s="150" t="s">
        <v>142</v>
      </c>
      <c r="H351" s="305">
        <f>'прил12(ведом 21)'!M669</f>
        <v>10.1</v>
      </c>
    </row>
    <row r="352" spans="1:8" ht="75">
      <c r="A352" s="291"/>
      <c r="B352" s="358" t="s">
        <v>352</v>
      </c>
      <c r="C352" s="359" t="s">
        <v>100</v>
      </c>
      <c r="D352" s="360" t="s">
        <v>65</v>
      </c>
      <c r="E352" s="360" t="s">
        <v>59</v>
      </c>
      <c r="F352" s="361" t="s">
        <v>64</v>
      </c>
      <c r="G352" s="362"/>
      <c r="H352" s="305">
        <f>H353+H355</f>
        <v>52577.999999999993</v>
      </c>
    </row>
    <row r="353" spans="1:8" ht="18.75">
      <c r="A353" s="291"/>
      <c r="B353" s="780" t="s">
        <v>1007</v>
      </c>
      <c r="C353" s="781" t="s">
        <v>100</v>
      </c>
      <c r="D353" s="782" t="s">
        <v>65</v>
      </c>
      <c r="E353" s="782" t="s">
        <v>59</v>
      </c>
      <c r="F353" s="783" t="s">
        <v>1005</v>
      </c>
      <c r="G353" s="784"/>
      <c r="H353" s="305">
        <f>H354</f>
        <v>5.2</v>
      </c>
    </row>
    <row r="354" spans="1:8" ht="37.5">
      <c r="A354" s="291"/>
      <c r="B354" s="780" t="s">
        <v>141</v>
      </c>
      <c r="C354" s="781" t="s">
        <v>100</v>
      </c>
      <c r="D354" s="782" t="s">
        <v>65</v>
      </c>
      <c r="E354" s="782" t="s">
        <v>59</v>
      </c>
      <c r="F354" s="783" t="s">
        <v>1005</v>
      </c>
      <c r="G354" s="784" t="s">
        <v>142</v>
      </c>
      <c r="H354" s="305">
        <f>'прил12(ведом 21)'!M688</f>
        <v>5.2</v>
      </c>
    </row>
    <row r="355" spans="1:8" ht="97.5" customHeight="1">
      <c r="A355" s="291"/>
      <c r="B355" s="363" t="s">
        <v>591</v>
      </c>
      <c r="C355" s="308" t="s">
        <v>100</v>
      </c>
      <c r="D355" s="309" t="s">
        <v>65</v>
      </c>
      <c r="E355" s="309" t="s">
        <v>59</v>
      </c>
      <c r="F355" s="364" t="s">
        <v>592</v>
      </c>
      <c r="G355" s="311"/>
      <c r="H355" s="305">
        <f>H356</f>
        <v>52572.799999999996</v>
      </c>
    </row>
    <row r="356" spans="1:8" ht="37.5">
      <c r="A356" s="291"/>
      <c r="B356" s="363" t="s">
        <v>225</v>
      </c>
      <c r="C356" s="308" t="s">
        <v>100</v>
      </c>
      <c r="D356" s="309" t="s">
        <v>65</v>
      </c>
      <c r="E356" s="309" t="s">
        <v>59</v>
      </c>
      <c r="F356" s="364" t="s">
        <v>592</v>
      </c>
      <c r="G356" s="311" t="s">
        <v>226</v>
      </c>
      <c r="H356" s="305">
        <f>'прил12(ведом 21)'!M351</f>
        <v>52572.799999999996</v>
      </c>
    </row>
    <row r="357" spans="1:8" ht="37.5">
      <c r="A357" s="291"/>
      <c r="B357" s="304" t="s">
        <v>251</v>
      </c>
      <c r="C357" s="744" t="s">
        <v>100</v>
      </c>
      <c r="D357" s="745" t="s">
        <v>65</v>
      </c>
      <c r="E357" s="745" t="s">
        <v>84</v>
      </c>
      <c r="F357" s="746" t="s">
        <v>64</v>
      </c>
      <c r="G357" s="150"/>
      <c r="H357" s="305">
        <f>H358+H361+H364</f>
        <v>7591.7</v>
      </c>
    </row>
    <row r="358" spans="1:8" ht="75">
      <c r="A358" s="291"/>
      <c r="B358" s="304" t="s">
        <v>253</v>
      </c>
      <c r="C358" s="744" t="s">
        <v>100</v>
      </c>
      <c r="D358" s="745" t="s">
        <v>65</v>
      </c>
      <c r="E358" s="745" t="s">
        <v>84</v>
      </c>
      <c r="F358" s="746" t="s">
        <v>346</v>
      </c>
      <c r="G358" s="150"/>
      <c r="H358" s="305">
        <f>SUM(H359:H360)</f>
        <v>6084</v>
      </c>
    </row>
    <row r="359" spans="1:8" ht="93.75">
      <c r="A359" s="291"/>
      <c r="B359" s="304" t="s">
        <v>69</v>
      </c>
      <c r="C359" s="744" t="s">
        <v>100</v>
      </c>
      <c r="D359" s="745" t="s">
        <v>65</v>
      </c>
      <c r="E359" s="745" t="s">
        <v>84</v>
      </c>
      <c r="F359" s="746" t="s">
        <v>346</v>
      </c>
      <c r="G359" s="150" t="s">
        <v>70</v>
      </c>
      <c r="H359" s="305">
        <f>'прил12(ведом 21)'!M695</f>
        <v>5725.5</v>
      </c>
    </row>
    <row r="360" spans="1:8" ht="37.5">
      <c r="A360" s="291"/>
      <c r="B360" s="304" t="s">
        <v>75</v>
      </c>
      <c r="C360" s="365" t="s">
        <v>100</v>
      </c>
      <c r="D360" s="366" t="s">
        <v>65</v>
      </c>
      <c r="E360" s="366" t="s">
        <v>84</v>
      </c>
      <c r="F360" s="367" t="s">
        <v>346</v>
      </c>
      <c r="G360" s="150" t="s">
        <v>76</v>
      </c>
      <c r="H360" s="305">
        <f>'прил12(ведом 21)'!M696</f>
        <v>358.5</v>
      </c>
    </row>
    <row r="361" spans="1:8" ht="93.75">
      <c r="A361" s="291"/>
      <c r="B361" s="231" t="s">
        <v>794</v>
      </c>
      <c r="C361" s="744" t="s">
        <v>100</v>
      </c>
      <c r="D361" s="745" t="s">
        <v>65</v>
      </c>
      <c r="E361" s="745" t="s">
        <v>84</v>
      </c>
      <c r="F361" s="746" t="s">
        <v>347</v>
      </c>
      <c r="G361" s="150"/>
      <c r="H361" s="305">
        <f>SUM(H362:H363)</f>
        <v>636.69999999999993</v>
      </c>
    </row>
    <row r="362" spans="1:8" ht="93.75">
      <c r="A362" s="291"/>
      <c r="B362" s="304" t="s">
        <v>69</v>
      </c>
      <c r="C362" s="744" t="s">
        <v>100</v>
      </c>
      <c r="D362" s="745" t="s">
        <v>65</v>
      </c>
      <c r="E362" s="745" t="s">
        <v>84</v>
      </c>
      <c r="F362" s="746" t="s">
        <v>347</v>
      </c>
      <c r="G362" s="150" t="s">
        <v>70</v>
      </c>
      <c r="H362" s="305">
        <f>'прил12(ведом 21)'!M698</f>
        <v>607.29999999999995</v>
      </c>
    </row>
    <row r="363" spans="1:8" ht="37.5">
      <c r="A363" s="291"/>
      <c r="B363" s="304" t="s">
        <v>75</v>
      </c>
      <c r="C363" s="744" t="s">
        <v>100</v>
      </c>
      <c r="D363" s="745" t="s">
        <v>65</v>
      </c>
      <c r="E363" s="745" t="s">
        <v>84</v>
      </c>
      <c r="F363" s="746" t="s">
        <v>347</v>
      </c>
      <c r="G363" s="150" t="s">
        <v>76</v>
      </c>
      <c r="H363" s="305">
        <f>'прил12(ведом 21)'!M699</f>
        <v>29.4</v>
      </c>
    </row>
    <row r="364" spans="1:8" ht="246" customHeight="1">
      <c r="A364" s="291"/>
      <c r="B364" s="304" t="s">
        <v>254</v>
      </c>
      <c r="C364" s="744" t="s">
        <v>100</v>
      </c>
      <c r="D364" s="745" t="s">
        <v>65</v>
      </c>
      <c r="E364" s="745" t="s">
        <v>84</v>
      </c>
      <c r="F364" s="746" t="s">
        <v>348</v>
      </c>
      <c r="G364" s="150"/>
      <c r="H364" s="305">
        <f>H365+H366</f>
        <v>871</v>
      </c>
    </row>
    <row r="365" spans="1:8" ht="93.75">
      <c r="A365" s="291"/>
      <c r="B365" s="304" t="s">
        <v>69</v>
      </c>
      <c r="C365" s="744" t="s">
        <v>100</v>
      </c>
      <c r="D365" s="745" t="s">
        <v>65</v>
      </c>
      <c r="E365" s="745" t="s">
        <v>84</v>
      </c>
      <c r="F365" s="746" t="s">
        <v>348</v>
      </c>
      <c r="G365" s="150" t="s">
        <v>70</v>
      </c>
      <c r="H365" s="305">
        <f>'прил12(ведом 21)'!M701</f>
        <v>808.2</v>
      </c>
    </row>
    <row r="366" spans="1:8" ht="37.5">
      <c r="A366" s="291"/>
      <c r="B366" s="304" t="s">
        <v>75</v>
      </c>
      <c r="C366" s="744" t="s">
        <v>100</v>
      </c>
      <c r="D366" s="745" t="s">
        <v>65</v>
      </c>
      <c r="E366" s="745" t="s">
        <v>84</v>
      </c>
      <c r="F366" s="746" t="s">
        <v>348</v>
      </c>
      <c r="G366" s="150" t="s">
        <v>76</v>
      </c>
      <c r="H366" s="305">
        <f>'прил12(ведом 21)'!M702</f>
        <v>62.8</v>
      </c>
    </row>
    <row r="367" spans="1:8" ht="81.75" customHeight="1">
      <c r="A367" s="329"/>
      <c r="B367" s="318" t="s">
        <v>756</v>
      </c>
      <c r="C367" s="744" t="s">
        <v>100</v>
      </c>
      <c r="D367" s="745" t="s">
        <v>65</v>
      </c>
      <c r="E367" s="745" t="s">
        <v>72</v>
      </c>
      <c r="F367" s="746" t="s">
        <v>64</v>
      </c>
      <c r="G367" s="150"/>
      <c r="H367" s="305">
        <f>H368</f>
        <v>552</v>
      </c>
    </row>
    <row r="368" spans="1:8" ht="75">
      <c r="A368" s="329"/>
      <c r="B368" s="318" t="s">
        <v>749</v>
      </c>
      <c r="C368" s="744" t="s">
        <v>100</v>
      </c>
      <c r="D368" s="745" t="s">
        <v>65</v>
      </c>
      <c r="E368" s="745" t="s">
        <v>72</v>
      </c>
      <c r="F368" s="746" t="s">
        <v>433</v>
      </c>
      <c r="G368" s="150"/>
      <c r="H368" s="305">
        <f>H369</f>
        <v>552</v>
      </c>
    </row>
    <row r="369" spans="1:8" ht="23.25" customHeight="1">
      <c r="A369" s="329"/>
      <c r="B369" s="306" t="s">
        <v>141</v>
      </c>
      <c r="C369" s="744" t="s">
        <v>100</v>
      </c>
      <c r="D369" s="745" t="s">
        <v>65</v>
      </c>
      <c r="E369" s="745" t="s">
        <v>72</v>
      </c>
      <c r="F369" s="746" t="s">
        <v>433</v>
      </c>
      <c r="G369" s="150" t="s">
        <v>142</v>
      </c>
      <c r="H369" s="305">
        <f>'прил12(ведом 21)'!M177</f>
        <v>552</v>
      </c>
    </row>
    <row r="370" spans="1:8" ht="18.75">
      <c r="A370" s="291"/>
      <c r="B370" s="304"/>
      <c r="C370" s="745"/>
      <c r="D370" s="745"/>
      <c r="E370" s="745"/>
      <c r="F370" s="746"/>
      <c r="G370" s="150"/>
      <c r="H370" s="305"/>
    </row>
    <row r="371" spans="1:8" ht="75">
      <c r="A371" s="314">
        <v>9</v>
      </c>
      <c r="B371" s="327" t="s">
        <v>397</v>
      </c>
      <c r="C371" s="315" t="s">
        <v>125</v>
      </c>
      <c r="D371" s="315" t="s">
        <v>62</v>
      </c>
      <c r="E371" s="315" t="s">
        <v>63</v>
      </c>
      <c r="F371" s="316" t="s">
        <v>64</v>
      </c>
      <c r="G371" s="368"/>
      <c r="H371" s="302">
        <f>H372+H378</f>
        <v>17604.099999999999</v>
      </c>
    </row>
    <row r="372" spans="1:8" ht="37.5">
      <c r="A372" s="314"/>
      <c r="B372" s="304" t="s">
        <v>399</v>
      </c>
      <c r="C372" s="744" t="s">
        <v>125</v>
      </c>
      <c r="D372" s="745" t="s">
        <v>65</v>
      </c>
      <c r="E372" s="745" t="s">
        <v>63</v>
      </c>
      <c r="F372" s="746" t="s">
        <v>64</v>
      </c>
      <c r="G372" s="150"/>
      <c r="H372" s="305">
        <f>H373</f>
        <v>16440.5</v>
      </c>
    </row>
    <row r="373" spans="1:8" ht="56.25">
      <c r="A373" s="314"/>
      <c r="B373" s="164" t="s">
        <v>460</v>
      </c>
      <c r="C373" s="744" t="s">
        <v>125</v>
      </c>
      <c r="D373" s="745" t="s">
        <v>65</v>
      </c>
      <c r="E373" s="745" t="s">
        <v>57</v>
      </c>
      <c r="F373" s="746" t="s">
        <v>64</v>
      </c>
      <c r="G373" s="150"/>
      <c r="H373" s="305">
        <f>H376+H374</f>
        <v>16440.5</v>
      </c>
    </row>
    <row r="374" spans="1:8" ht="56.25">
      <c r="A374" s="314"/>
      <c r="B374" s="358" t="s">
        <v>766</v>
      </c>
      <c r="C374" s="308" t="s">
        <v>125</v>
      </c>
      <c r="D374" s="309" t="s">
        <v>65</v>
      </c>
      <c r="E374" s="309" t="s">
        <v>57</v>
      </c>
      <c r="F374" s="364" t="s">
        <v>765</v>
      </c>
      <c r="G374" s="573"/>
      <c r="H374" s="571">
        <f>H375</f>
        <v>3808.9</v>
      </c>
    </row>
    <row r="375" spans="1:8" ht="37.5">
      <c r="A375" s="314"/>
      <c r="B375" s="358" t="s">
        <v>225</v>
      </c>
      <c r="C375" s="308" t="s">
        <v>125</v>
      </c>
      <c r="D375" s="309" t="s">
        <v>65</v>
      </c>
      <c r="E375" s="309" t="s">
        <v>57</v>
      </c>
      <c r="F375" s="364" t="s">
        <v>765</v>
      </c>
      <c r="G375" s="572" t="s">
        <v>226</v>
      </c>
      <c r="H375" s="305">
        <f>'прил12(ведом 21)'!M329</f>
        <v>3808.9</v>
      </c>
    </row>
    <row r="376" spans="1:8" ht="56.25">
      <c r="A376" s="314"/>
      <c r="B376" s="801" t="s">
        <v>1015</v>
      </c>
      <c r="C376" s="308" t="s">
        <v>125</v>
      </c>
      <c r="D376" s="309" t="s">
        <v>65</v>
      </c>
      <c r="E376" s="309" t="s">
        <v>57</v>
      </c>
      <c r="F376" s="364" t="s">
        <v>590</v>
      </c>
      <c r="G376" s="311"/>
      <c r="H376" s="305">
        <f>SUM(H377:H377)</f>
        <v>12631.6</v>
      </c>
    </row>
    <row r="377" spans="1:8" ht="37.5">
      <c r="A377" s="569"/>
      <c r="B377" s="558" t="s">
        <v>225</v>
      </c>
      <c r="C377" s="414" t="s">
        <v>125</v>
      </c>
      <c r="D377" s="415" t="s">
        <v>65</v>
      </c>
      <c r="E377" s="415" t="s">
        <v>57</v>
      </c>
      <c r="F377" s="570" t="s">
        <v>590</v>
      </c>
      <c r="G377" s="557" t="s">
        <v>226</v>
      </c>
      <c r="H377" s="571">
        <f>'прил12(ведом 21)'!M331</f>
        <v>12631.6</v>
      </c>
    </row>
    <row r="378" spans="1:8" ht="56.25">
      <c r="A378" s="569"/>
      <c r="B378" s="164" t="s">
        <v>981</v>
      </c>
      <c r="C378" s="744" t="s">
        <v>125</v>
      </c>
      <c r="D378" s="745" t="s">
        <v>54</v>
      </c>
      <c r="E378" s="745" t="s">
        <v>63</v>
      </c>
      <c r="F378" s="746" t="s">
        <v>64</v>
      </c>
      <c r="G378" s="150"/>
      <c r="H378" s="571">
        <f>H379</f>
        <v>1163.5999999999999</v>
      </c>
    </row>
    <row r="379" spans="1:8" ht="37.5">
      <c r="A379" s="569"/>
      <c r="B379" s="164" t="s">
        <v>982</v>
      </c>
      <c r="C379" s="744" t="s">
        <v>125</v>
      </c>
      <c r="D379" s="745" t="s">
        <v>54</v>
      </c>
      <c r="E379" s="745" t="s">
        <v>57</v>
      </c>
      <c r="F379" s="746" t="s">
        <v>64</v>
      </c>
      <c r="G379" s="150"/>
      <c r="H379" s="571">
        <f>H380</f>
        <v>1163.5999999999999</v>
      </c>
    </row>
    <row r="380" spans="1:8" ht="37.5">
      <c r="A380" s="569"/>
      <c r="B380" s="164" t="s">
        <v>983</v>
      </c>
      <c r="C380" s="744" t="s">
        <v>125</v>
      </c>
      <c r="D380" s="745" t="s">
        <v>54</v>
      </c>
      <c r="E380" s="745" t="s">
        <v>57</v>
      </c>
      <c r="F380" s="746" t="s">
        <v>984</v>
      </c>
      <c r="G380" s="150"/>
      <c r="H380" s="571">
        <f>H381</f>
        <v>1163.5999999999999</v>
      </c>
    </row>
    <row r="381" spans="1:8" ht="37.5">
      <c r="A381" s="569"/>
      <c r="B381" s="164" t="s">
        <v>75</v>
      </c>
      <c r="C381" s="744" t="s">
        <v>125</v>
      </c>
      <c r="D381" s="745" t="s">
        <v>54</v>
      </c>
      <c r="E381" s="745" t="s">
        <v>57</v>
      </c>
      <c r="F381" s="746" t="s">
        <v>984</v>
      </c>
      <c r="G381" s="150" t="s">
        <v>76</v>
      </c>
      <c r="H381" s="571">
        <f>'прил12(ведом 21)'!M170</f>
        <v>1163.5999999999999</v>
      </c>
    </row>
    <row r="382" spans="1:8" ht="18.75">
      <c r="A382" s="569"/>
      <c r="B382" s="164"/>
      <c r="C382" s="745"/>
      <c r="D382" s="745"/>
      <c r="E382" s="745"/>
      <c r="F382" s="746"/>
      <c r="G382" s="150"/>
      <c r="H382" s="571"/>
    </row>
    <row r="383" spans="1:8" s="303" customFormat="1" ht="56.25">
      <c r="A383" s="314">
        <v>10</v>
      </c>
      <c r="B383" s="327" t="s">
        <v>115</v>
      </c>
      <c r="C383" s="315" t="s">
        <v>88</v>
      </c>
      <c r="D383" s="315" t="s">
        <v>62</v>
      </c>
      <c r="E383" s="315" t="s">
        <v>63</v>
      </c>
      <c r="F383" s="316" t="s">
        <v>64</v>
      </c>
      <c r="G383" s="368"/>
      <c r="H383" s="302">
        <f>H384</f>
        <v>11258.5</v>
      </c>
    </row>
    <row r="384" spans="1:8" ht="27" customHeight="1">
      <c r="A384" s="291"/>
      <c r="B384" s="304" t="s">
        <v>404</v>
      </c>
      <c r="C384" s="744" t="s">
        <v>88</v>
      </c>
      <c r="D384" s="745" t="s">
        <v>65</v>
      </c>
      <c r="E384" s="745" t="s">
        <v>63</v>
      </c>
      <c r="F384" s="746" t="s">
        <v>64</v>
      </c>
      <c r="G384" s="323"/>
      <c r="H384" s="305">
        <f>H385+H388</f>
        <v>11258.5</v>
      </c>
    </row>
    <row r="385" spans="1:8" ht="37.5">
      <c r="A385" s="291"/>
      <c r="B385" s="304" t="s">
        <v>116</v>
      </c>
      <c r="C385" s="744" t="s">
        <v>88</v>
      </c>
      <c r="D385" s="745" t="s">
        <v>65</v>
      </c>
      <c r="E385" s="745" t="s">
        <v>57</v>
      </c>
      <c r="F385" s="746" t="s">
        <v>64</v>
      </c>
      <c r="G385" s="323"/>
      <c r="H385" s="305">
        <f>H386</f>
        <v>11070.6</v>
      </c>
    </row>
    <row r="386" spans="1:8" ht="56.25">
      <c r="A386" s="291"/>
      <c r="B386" s="196" t="s">
        <v>583</v>
      </c>
      <c r="C386" s="744" t="s">
        <v>88</v>
      </c>
      <c r="D386" s="745" t="s">
        <v>65</v>
      </c>
      <c r="E386" s="745" t="s">
        <v>57</v>
      </c>
      <c r="F386" s="746" t="s">
        <v>82</v>
      </c>
      <c r="G386" s="150"/>
      <c r="H386" s="305">
        <f>H387</f>
        <v>11070.6</v>
      </c>
    </row>
    <row r="387" spans="1:8" ht="18.75">
      <c r="A387" s="291"/>
      <c r="B387" s="304" t="s">
        <v>77</v>
      </c>
      <c r="C387" s="744" t="s">
        <v>88</v>
      </c>
      <c r="D387" s="745" t="s">
        <v>65</v>
      </c>
      <c r="E387" s="745" t="s">
        <v>57</v>
      </c>
      <c r="F387" s="746" t="s">
        <v>82</v>
      </c>
      <c r="G387" s="150" t="s">
        <v>78</v>
      </c>
      <c r="H387" s="305">
        <f>'прил12(ведом 21)'!M129</f>
        <v>11070.6</v>
      </c>
    </row>
    <row r="388" spans="1:8" ht="56.25">
      <c r="A388" s="291"/>
      <c r="B388" s="304" t="s">
        <v>117</v>
      </c>
      <c r="C388" s="744" t="s">
        <v>88</v>
      </c>
      <c r="D388" s="745" t="s">
        <v>65</v>
      </c>
      <c r="E388" s="745" t="s">
        <v>59</v>
      </c>
      <c r="F388" s="746" t="s">
        <v>64</v>
      </c>
      <c r="G388" s="150"/>
      <c r="H388" s="305">
        <f>H389</f>
        <v>187.9</v>
      </c>
    </row>
    <row r="389" spans="1:8" ht="18.75">
      <c r="A389" s="291"/>
      <c r="B389" s="164" t="s">
        <v>689</v>
      </c>
      <c r="C389" s="744" t="s">
        <v>88</v>
      </c>
      <c r="D389" s="745" t="s">
        <v>65</v>
      </c>
      <c r="E389" s="745" t="s">
        <v>59</v>
      </c>
      <c r="F389" s="746" t="s">
        <v>118</v>
      </c>
      <c r="G389" s="150"/>
      <c r="H389" s="305">
        <f>H390</f>
        <v>187.9</v>
      </c>
    </row>
    <row r="390" spans="1:8" ht="37.5">
      <c r="A390" s="291"/>
      <c r="B390" s="304" t="s">
        <v>75</v>
      </c>
      <c r="C390" s="744" t="s">
        <v>88</v>
      </c>
      <c r="D390" s="745" t="s">
        <v>65</v>
      </c>
      <c r="E390" s="745" t="s">
        <v>59</v>
      </c>
      <c r="F390" s="746" t="s">
        <v>118</v>
      </c>
      <c r="G390" s="150" t="s">
        <v>76</v>
      </c>
      <c r="H390" s="305">
        <f>'прил12(ведом 21)'!M132</f>
        <v>187.9</v>
      </c>
    </row>
    <row r="391" spans="1:8" ht="18.75">
      <c r="A391" s="291"/>
      <c r="B391" s="313"/>
      <c r="C391" s="739"/>
      <c r="D391" s="739"/>
      <c r="E391" s="739"/>
      <c r="F391" s="740"/>
      <c r="G391" s="289"/>
      <c r="H391" s="305"/>
    </row>
    <row r="392" spans="1:8" s="303" customFormat="1" ht="56.25">
      <c r="A392" s="314">
        <v>11</v>
      </c>
      <c r="B392" s="327" t="s">
        <v>120</v>
      </c>
      <c r="C392" s="315" t="s">
        <v>121</v>
      </c>
      <c r="D392" s="315" t="s">
        <v>62</v>
      </c>
      <c r="E392" s="315" t="s">
        <v>63</v>
      </c>
      <c r="F392" s="316" t="s">
        <v>64</v>
      </c>
      <c r="G392" s="301"/>
      <c r="H392" s="302">
        <f>H393</f>
        <v>9802.3829999999998</v>
      </c>
    </row>
    <row r="393" spans="1:8" s="303" customFormat="1" ht="27.75" customHeight="1">
      <c r="A393" s="291"/>
      <c r="B393" s="304" t="s">
        <v>404</v>
      </c>
      <c r="C393" s="744" t="s">
        <v>121</v>
      </c>
      <c r="D393" s="745" t="s">
        <v>65</v>
      </c>
      <c r="E393" s="745" t="s">
        <v>63</v>
      </c>
      <c r="F393" s="746" t="s">
        <v>64</v>
      </c>
      <c r="G393" s="150"/>
      <c r="H393" s="305">
        <f>H394</f>
        <v>9802.3829999999998</v>
      </c>
    </row>
    <row r="394" spans="1:8" s="303" customFormat="1" ht="75">
      <c r="A394" s="291"/>
      <c r="B394" s="304" t="s">
        <v>122</v>
      </c>
      <c r="C394" s="744" t="s">
        <v>121</v>
      </c>
      <c r="D394" s="745" t="s">
        <v>65</v>
      </c>
      <c r="E394" s="745" t="s">
        <v>57</v>
      </c>
      <c r="F394" s="746" t="s">
        <v>64</v>
      </c>
      <c r="G394" s="150"/>
      <c r="H394" s="305">
        <f>H395</f>
        <v>9802.3829999999998</v>
      </c>
    </row>
    <row r="395" spans="1:8" s="303" customFormat="1" ht="75">
      <c r="A395" s="291"/>
      <c r="B395" s="317" t="s">
        <v>123</v>
      </c>
      <c r="C395" s="744" t="s">
        <v>121</v>
      </c>
      <c r="D395" s="745" t="s">
        <v>65</v>
      </c>
      <c r="E395" s="745" t="s">
        <v>57</v>
      </c>
      <c r="F395" s="746" t="s">
        <v>124</v>
      </c>
      <c r="G395" s="150"/>
      <c r="H395" s="305">
        <f>H396</f>
        <v>9802.3829999999998</v>
      </c>
    </row>
    <row r="396" spans="1:8" ht="37.5">
      <c r="A396" s="291"/>
      <c r="B396" s="304" t="s">
        <v>75</v>
      </c>
      <c r="C396" s="744" t="s">
        <v>121</v>
      </c>
      <c r="D396" s="745" t="s">
        <v>65</v>
      </c>
      <c r="E396" s="745" t="s">
        <v>57</v>
      </c>
      <c r="F396" s="746" t="s">
        <v>124</v>
      </c>
      <c r="G396" s="150" t="s">
        <v>76</v>
      </c>
      <c r="H396" s="305">
        <f>'прил12(ведом 21)'!M138</f>
        <v>9802.3829999999998</v>
      </c>
    </row>
    <row r="397" spans="1:8" ht="18.75">
      <c r="A397" s="291"/>
      <c r="B397" s="313"/>
      <c r="C397" s="739"/>
      <c r="D397" s="739"/>
      <c r="E397" s="739"/>
      <c r="F397" s="740"/>
      <c r="G397" s="289"/>
      <c r="H397" s="305"/>
    </row>
    <row r="398" spans="1:8" s="303" customFormat="1" ht="75">
      <c r="A398" s="314">
        <v>12</v>
      </c>
      <c r="B398" s="327" t="s">
        <v>128</v>
      </c>
      <c r="C398" s="315" t="s">
        <v>92</v>
      </c>
      <c r="D398" s="315" t="s">
        <v>62</v>
      </c>
      <c r="E398" s="315" t="s">
        <v>63</v>
      </c>
      <c r="F398" s="316" t="s">
        <v>64</v>
      </c>
      <c r="G398" s="301"/>
      <c r="H398" s="302">
        <f>H399+H403</f>
        <v>1025.0999999999999</v>
      </c>
    </row>
    <row r="399" spans="1:8" s="303" customFormat="1" ht="37.5">
      <c r="A399" s="291"/>
      <c r="B399" s="328" t="s">
        <v>129</v>
      </c>
      <c r="C399" s="744" t="s">
        <v>92</v>
      </c>
      <c r="D399" s="745" t="s">
        <v>65</v>
      </c>
      <c r="E399" s="745" t="s">
        <v>63</v>
      </c>
      <c r="F399" s="746" t="s">
        <v>64</v>
      </c>
      <c r="G399" s="150"/>
      <c r="H399" s="305">
        <f>H400</f>
        <v>310</v>
      </c>
    </row>
    <row r="400" spans="1:8" s="303" customFormat="1" ht="37.5">
      <c r="A400" s="291"/>
      <c r="B400" s="304" t="s">
        <v>130</v>
      </c>
      <c r="C400" s="744" t="s">
        <v>92</v>
      </c>
      <c r="D400" s="745" t="s">
        <v>65</v>
      </c>
      <c r="E400" s="745" t="s">
        <v>57</v>
      </c>
      <c r="F400" s="746" t="s">
        <v>64</v>
      </c>
      <c r="G400" s="150"/>
      <c r="H400" s="305">
        <f>H401</f>
        <v>310</v>
      </c>
    </row>
    <row r="401" spans="1:8" s="303" customFormat="1" ht="37.5">
      <c r="A401" s="291"/>
      <c r="B401" s="328" t="s">
        <v>131</v>
      </c>
      <c r="C401" s="744" t="s">
        <v>92</v>
      </c>
      <c r="D401" s="745" t="s">
        <v>65</v>
      </c>
      <c r="E401" s="745" t="s">
        <v>57</v>
      </c>
      <c r="F401" s="746" t="s">
        <v>132</v>
      </c>
      <c r="G401" s="150"/>
      <c r="H401" s="305">
        <f>SUM(H402:H402)</f>
        <v>310</v>
      </c>
    </row>
    <row r="402" spans="1:8" s="303" customFormat="1" ht="37.5">
      <c r="A402" s="291"/>
      <c r="B402" s="304" t="s">
        <v>75</v>
      </c>
      <c r="C402" s="744" t="s">
        <v>92</v>
      </c>
      <c r="D402" s="745" t="s">
        <v>65</v>
      </c>
      <c r="E402" s="745" t="s">
        <v>57</v>
      </c>
      <c r="F402" s="746" t="s">
        <v>132</v>
      </c>
      <c r="G402" s="150" t="s">
        <v>76</v>
      </c>
      <c r="H402" s="305">
        <f>'прил12(ведом 21)'!M144</f>
        <v>310</v>
      </c>
    </row>
    <row r="403" spans="1:8" s="303" customFormat="1" ht="19.149999999999999" customHeight="1">
      <c r="A403" s="291"/>
      <c r="B403" s="328" t="s">
        <v>133</v>
      </c>
      <c r="C403" s="744" t="s">
        <v>92</v>
      </c>
      <c r="D403" s="745" t="s">
        <v>110</v>
      </c>
      <c r="E403" s="745" t="s">
        <v>63</v>
      </c>
      <c r="F403" s="746" t="s">
        <v>64</v>
      </c>
      <c r="G403" s="150"/>
      <c r="H403" s="305">
        <f>H404</f>
        <v>715.1</v>
      </c>
    </row>
    <row r="404" spans="1:8" s="303" customFormat="1" ht="37.5">
      <c r="A404" s="291"/>
      <c r="B404" s="328" t="s">
        <v>134</v>
      </c>
      <c r="C404" s="744" t="s">
        <v>92</v>
      </c>
      <c r="D404" s="745" t="s">
        <v>110</v>
      </c>
      <c r="E404" s="745" t="s">
        <v>57</v>
      </c>
      <c r="F404" s="746" t="s">
        <v>64</v>
      </c>
      <c r="G404" s="150"/>
      <c r="H404" s="305">
        <f>H405</f>
        <v>715.1</v>
      </c>
    </row>
    <row r="405" spans="1:8" s="303" customFormat="1" ht="75">
      <c r="A405" s="291"/>
      <c r="B405" s="328" t="s">
        <v>135</v>
      </c>
      <c r="C405" s="744" t="s">
        <v>92</v>
      </c>
      <c r="D405" s="745" t="s">
        <v>110</v>
      </c>
      <c r="E405" s="745" t="s">
        <v>57</v>
      </c>
      <c r="F405" s="746" t="s">
        <v>136</v>
      </c>
      <c r="G405" s="150"/>
      <c r="H405" s="305">
        <f>H406</f>
        <v>715.1</v>
      </c>
    </row>
    <row r="406" spans="1:8" ht="37.5">
      <c r="A406" s="291"/>
      <c r="B406" s="304" t="s">
        <v>75</v>
      </c>
      <c r="C406" s="744" t="s">
        <v>92</v>
      </c>
      <c r="D406" s="745" t="s">
        <v>110</v>
      </c>
      <c r="E406" s="745" t="s">
        <v>57</v>
      </c>
      <c r="F406" s="746" t="s">
        <v>136</v>
      </c>
      <c r="G406" s="150" t="s">
        <v>76</v>
      </c>
      <c r="H406" s="305">
        <f>'прил12(ведом 21)'!M148</f>
        <v>715.1</v>
      </c>
    </row>
    <row r="407" spans="1:8" ht="18.75">
      <c r="A407" s="291"/>
      <c r="B407" s="313"/>
      <c r="C407" s="739"/>
      <c r="D407" s="739"/>
      <c r="E407" s="739"/>
      <c r="F407" s="740"/>
      <c r="G407" s="289"/>
      <c r="H407" s="305"/>
    </row>
    <row r="408" spans="1:8" s="303" customFormat="1" ht="59.25" customHeight="1">
      <c r="A408" s="314">
        <v>13</v>
      </c>
      <c r="B408" s="327" t="s">
        <v>137</v>
      </c>
      <c r="C408" s="315" t="s">
        <v>109</v>
      </c>
      <c r="D408" s="315" t="s">
        <v>62</v>
      </c>
      <c r="E408" s="315" t="s">
        <v>63</v>
      </c>
      <c r="F408" s="316" t="s">
        <v>64</v>
      </c>
      <c r="G408" s="301"/>
      <c r="H408" s="302">
        <f>H409</f>
        <v>891.2</v>
      </c>
    </row>
    <row r="409" spans="1:8" s="303" customFormat="1" ht="31.5" customHeight="1">
      <c r="A409" s="291"/>
      <c r="B409" s="304" t="s">
        <v>404</v>
      </c>
      <c r="C409" s="744" t="s">
        <v>109</v>
      </c>
      <c r="D409" s="745" t="s">
        <v>65</v>
      </c>
      <c r="E409" s="745" t="s">
        <v>63</v>
      </c>
      <c r="F409" s="746" t="s">
        <v>64</v>
      </c>
      <c r="G409" s="150"/>
      <c r="H409" s="305">
        <f>H410</f>
        <v>891.2</v>
      </c>
    </row>
    <row r="410" spans="1:8" s="303" customFormat="1" ht="56.25">
      <c r="A410" s="291"/>
      <c r="B410" s="328" t="s">
        <v>360</v>
      </c>
      <c r="C410" s="744" t="s">
        <v>109</v>
      </c>
      <c r="D410" s="745" t="s">
        <v>65</v>
      </c>
      <c r="E410" s="745" t="s">
        <v>57</v>
      </c>
      <c r="F410" s="746" t="s">
        <v>64</v>
      </c>
      <c r="G410" s="150"/>
      <c r="H410" s="305">
        <f>H411+H413</f>
        <v>891.2</v>
      </c>
    </row>
    <row r="411" spans="1:8" s="303" customFormat="1" ht="56.25">
      <c r="A411" s="291"/>
      <c r="B411" s="328" t="s">
        <v>138</v>
      </c>
      <c r="C411" s="744" t="s">
        <v>109</v>
      </c>
      <c r="D411" s="745" t="s">
        <v>65</v>
      </c>
      <c r="E411" s="745" t="s">
        <v>57</v>
      </c>
      <c r="F411" s="746" t="s">
        <v>139</v>
      </c>
      <c r="G411" s="150"/>
      <c r="H411" s="305">
        <f>H412</f>
        <v>112.2</v>
      </c>
    </row>
    <row r="412" spans="1:8" ht="37.5">
      <c r="A412" s="291"/>
      <c r="B412" s="304" t="s">
        <v>75</v>
      </c>
      <c r="C412" s="744" t="s">
        <v>109</v>
      </c>
      <c r="D412" s="745" t="s">
        <v>65</v>
      </c>
      <c r="E412" s="745" t="s">
        <v>57</v>
      </c>
      <c r="F412" s="746" t="s">
        <v>139</v>
      </c>
      <c r="G412" s="150" t="s">
        <v>76</v>
      </c>
      <c r="H412" s="305">
        <f>'прил12(ведом 21)'!M153</f>
        <v>112.2</v>
      </c>
    </row>
    <row r="413" spans="1:8" ht="56.25">
      <c r="A413" s="291"/>
      <c r="B413" s="164" t="s">
        <v>497</v>
      </c>
      <c r="C413" s="744" t="s">
        <v>109</v>
      </c>
      <c r="D413" s="745" t="s">
        <v>65</v>
      </c>
      <c r="E413" s="745" t="s">
        <v>57</v>
      </c>
      <c r="F413" s="746" t="s">
        <v>496</v>
      </c>
      <c r="G413" s="150"/>
      <c r="H413" s="305">
        <f>H414</f>
        <v>779</v>
      </c>
    </row>
    <row r="414" spans="1:8" ht="37.5">
      <c r="A414" s="291"/>
      <c r="B414" s="164" t="s">
        <v>75</v>
      </c>
      <c r="C414" s="744" t="s">
        <v>109</v>
      </c>
      <c r="D414" s="745" t="s">
        <v>65</v>
      </c>
      <c r="E414" s="745" t="s">
        <v>57</v>
      </c>
      <c r="F414" s="746" t="s">
        <v>496</v>
      </c>
      <c r="G414" s="150" t="s">
        <v>76</v>
      </c>
      <c r="H414" s="305">
        <f>'прил12(ведом 21)'!M155</f>
        <v>779</v>
      </c>
    </row>
    <row r="415" spans="1:8" s="303" customFormat="1" ht="18.75">
      <c r="A415" s="291"/>
      <c r="B415" s="306"/>
      <c r="C415" s="739"/>
      <c r="D415" s="739"/>
      <c r="E415" s="739"/>
      <c r="F415" s="740"/>
      <c r="G415" s="289"/>
      <c r="H415" s="305"/>
    </row>
    <row r="416" spans="1:8" s="303" customFormat="1" ht="75">
      <c r="A416" s="314">
        <v>14</v>
      </c>
      <c r="B416" s="327" t="s">
        <v>93</v>
      </c>
      <c r="C416" s="315" t="s">
        <v>94</v>
      </c>
      <c r="D416" s="315" t="s">
        <v>62</v>
      </c>
      <c r="E416" s="315" t="s">
        <v>63</v>
      </c>
      <c r="F416" s="316" t="s">
        <v>64</v>
      </c>
      <c r="G416" s="301"/>
      <c r="H416" s="302">
        <f>H417</f>
        <v>2913.1</v>
      </c>
    </row>
    <row r="417" spans="1:8" ht="19.5" customHeight="1">
      <c r="A417" s="291"/>
      <c r="B417" s="304" t="s">
        <v>404</v>
      </c>
      <c r="C417" s="744" t="s">
        <v>94</v>
      </c>
      <c r="D417" s="745" t="s">
        <v>65</v>
      </c>
      <c r="E417" s="745" t="s">
        <v>63</v>
      </c>
      <c r="F417" s="746" t="s">
        <v>64</v>
      </c>
      <c r="G417" s="150"/>
      <c r="H417" s="305">
        <f>H418</f>
        <v>2913.1</v>
      </c>
    </row>
    <row r="418" spans="1:8" ht="37.5">
      <c r="A418" s="291"/>
      <c r="B418" s="318" t="s">
        <v>306</v>
      </c>
      <c r="C418" s="744" t="s">
        <v>94</v>
      </c>
      <c r="D418" s="745" t="s">
        <v>65</v>
      </c>
      <c r="E418" s="745" t="s">
        <v>57</v>
      </c>
      <c r="F418" s="746" t="s">
        <v>64</v>
      </c>
      <c r="G418" s="150"/>
      <c r="H418" s="305">
        <f>H419</f>
        <v>2913.1</v>
      </c>
    </row>
    <row r="419" spans="1:8" ht="37.5">
      <c r="A419" s="291"/>
      <c r="B419" s="318" t="s">
        <v>95</v>
      </c>
      <c r="C419" s="744" t="s">
        <v>94</v>
      </c>
      <c r="D419" s="745" t="s">
        <v>65</v>
      </c>
      <c r="E419" s="745" t="s">
        <v>57</v>
      </c>
      <c r="F419" s="746" t="s">
        <v>96</v>
      </c>
      <c r="G419" s="150"/>
      <c r="H419" s="305">
        <f>H420</f>
        <v>2913.1</v>
      </c>
    </row>
    <row r="420" spans="1:8" ht="40.5" customHeight="1">
      <c r="A420" s="291"/>
      <c r="B420" s="306" t="s">
        <v>97</v>
      </c>
      <c r="C420" s="744" t="s">
        <v>94</v>
      </c>
      <c r="D420" s="745" t="s">
        <v>65</v>
      </c>
      <c r="E420" s="745" t="s">
        <v>57</v>
      </c>
      <c r="F420" s="746" t="s">
        <v>96</v>
      </c>
      <c r="G420" s="150" t="s">
        <v>98</v>
      </c>
      <c r="H420" s="305">
        <f>'прил12(ведом 21)'!M62+'прил12(ведом 21)'!M196</f>
        <v>2913.1</v>
      </c>
    </row>
    <row r="421" spans="1:8" ht="18.75">
      <c r="A421" s="291"/>
      <c r="B421" s="306"/>
      <c r="C421" s="739"/>
      <c r="D421" s="739"/>
      <c r="E421" s="739"/>
      <c r="F421" s="740"/>
      <c r="G421" s="289"/>
      <c r="H421" s="305"/>
    </row>
    <row r="422" spans="1:8" s="303" customFormat="1" ht="56.25">
      <c r="A422" s="314">
        <v>15</v>
      </c>
      <c r="B422" s="327" t="s">
        <v>60</v>
      </c>
      <c r="C422" s="315" t="s">
        <v>61</v>
      </c>
      <c r="D422" s="315" t="s">
        <v>62</v>
      </c>
      <c r="E422" s="315" t="s">
        <v>63</v>
      </c>
      <c r="F422" s="316" t="s">
        <v>64</v>
      </c>
      <c r="G422" s="301"/>
      <c r="H422" s="302">
        <f>H423</f>
        <v>91191.130999999979</v>
      </c>
    </row>
    <row r="423" spans="1:8" s="303" customFormat="1" ht="30" customHeight="1">
      <c r="A423" s="291"/>
      <c r="B423" s="304" t="s">
        <v>404</v>
      </c>
      <c r="C423" s="744" t="s">
        <v>61</v>
      </c>
      <c r="D423" s="745" t="s">
        <v>65</v>
      </c>
      <c r="E423" s="745" t="s">
        <v>63</v>
      </c>
      <c r="F423" s="746" t="s">
        <v>64</v>
      </c>
      <c r="G423" s="150"/>
      <c r="H423" s="305">
        <f>H424+H427+H446+H452+H457+H462+H468+H474+H477+H465+H480</f>
        <v>91191.130999999979</v>
      </c>
    </row>
    <row r="424" spans="1:8" s="303" customFormat="1" ht="37.5">
      <c r="A424" s="291"/>
      <c r="B424" s="304" t="s">
        <v>66</v>
      </c>
      <c r="C424" s="744" t="s">
        <v>61</v>
      </c>
      <c r="D424" s="745" t="s">
        <v>65</v>
      </c>
      <c r="E424" s="745" t="s">
        <v>57</v>
      </c>
      <c r="F424" s="746" t="s">
        <v>64</v>
      </c>
      <c r="G424" s="150"/>
      <c r="H424" s="305">
        <f>H425</f>
        <v>2067.1</v>
      </c>
    </row>
    <row r="425" spans="1:8" s="303" customFormat="1" ht="37.5">
      <c r="A425" s="291"/>
      <c r="B425" s="304" t="s">
        <v>67</v>
      </c>
      <c r="C425" s="744" t="s">
        <v>61</v>
      </c>
      <c r="D425" s="745" t="s">
        <v>65</v>
      </c>
      <c r="E425" s="745" t="s">
        <v>57</v>
      </c>
      <c r="F425" s="746" t="s">
        <v>68</v>
      </c>
      <c r="G425" s="150"/>
      <c r="H425" s="305">
        <f>H426</f>
        <v>2067.1</v>
      </c>
    </row>
    <row r="426" spans="1:8" s="303" customFormat="1" ht="93.75">
      <c r="A426" s="291"/>
      <c r="B426" s="304" t="s">
        <v>69</v>
      </c>
      <c r="C426" s="744" t="s">
        <v>61</v>
      </c>
      <c r="D426" s="745" t="s">
        <v>65</v>
      </c>
      <c r="E426" s="745" t="s">
        <v>57</v>
      </c>
      <c r="F426" s="746" t="s">
        <v>68</v>
      </c>
      <c r="G426" s="150" t="s">
        <v>70</v>
      </c>
      <c r="H426" s="305">
        <f>'прил12(ведом 21)'!M22</f>
        <v>2067.1</v>
      </c>
    </row>
    <row r="427" spans="1:8" s="303" customFormat="1" ht="37.5">
      <c r="A427" s="291"/>
      <c r="B427" s="304" t="s">
        <v>74</v>
      </c>
      <c r="C427" s="744" t="s">
        <v>61</v>
      </c>
      <c r="D427" s="745" t="s">
        <v>65</v>
      </c>
      <c r="E427" s="745" t="s">
        <v>59</v>
      </c>
      <c r="F427" s="746" t="s">
        <v>64</v>
      </c>
      <c r="G427" s="150"/>
      <c r="H427" s="305">
        <f>H428+H434+H436+H438+H441+H444+H432</f>
        <v>71264.330999999991</v>
      </c>
    </row>
    <row r="428" spans="1:8" s="303" customFormat="1" ht="37.5">
      <c r="A428" s="291"/>
      <c r="B428" s="304" t="s">
        <v>67</v>
      </c>
      <c r="C428" s="744" t="s">
        <v>61</v>
      </c>
      <c r="D428" s="745" t="s">
        <v>65</v>
      </c>
      <c r="E428" s="745" t="s">
        <v>59</v>
      </c>
      <c r="F428" s="746" t="s">
        <v>68</v>
      </c>
      <c r="G428" s="150"/>
      <c r="H428" s="305">
        <f>SUM(H429:H431)</f>
        <v>66404.330999999991</v>
      </c>
    </row>
    <row r="429" spans="1:8" s="303" customFormat="1" ht="93.75">
      <c r="A429" s="291"/>
      <c r="B429" s="304" t="s">
        <v>69</v>
      </c>
      <c r="C429" s="744" t="s">
        <v>61</v>
      </c>
      <c r="D429" s="745" t="s">
        <v>65</v>
      </c>
      <c r="E429" s="745" t="s">
        <v>59</v>
      </c>
      <c r="F429" s="746" t="s">
        <v>68</v>
      </c>
      <c r="G429" s="150" t="s">
        <v>70</v>
      </c>
      <c r="H429" s="305">
        <f>'прил12(ведом 21)'!M28</f>
        <v>59795.8</v>
      </c>
    </row>
    <row r="430" spans="1:8" ht="37.5">
      <c r="A430" s="291"/>
      <c r="B430" s="304" t="s">
        <v>75</v>
      </c>
      <c r="C430" s="744" t="s">
        <v>61</v>
      </c>
      <c r="D430" s="745" t="s">
        <v>65</v>
      </c>
      <c r="E430" s="745" t="s">
        <v>59</v>
      </c>
      <c r="F430" s="746" t="s">
        <v>68</v>
      </c>
      <c r="G430" s="150" t="s">
        <v>76</v>
      </c>
      <c r="H430" s="305">
        <f>'прил12(ведом 21)'!M29</f>
        <v>6516.6309999999994</v>
      </c>
    </row>
    <row r="431" spans="1:8" s="303" customFormat="1" ht="18.75">
      <c r="A431" s="291"/>
      <c r="B431" s="304" t="s">
        <v>77</v>
      </c>
      <c r="C431" s="744" t="s">
        <v>61</v>
      </c>
      <c r="D431" s="745" t="s">
        <v>65</v>
      </c>
      <c r="E431" s="745" t="s">
        <v>59</v>
      </c>
      <c r="F431" s="746" t="s">
        <v>68</v>
      </c>
      <c r="G431" s="150" t="s">
        <v>78</v>
      </c>
      <c r="H431" s="305">
        <f>'прил12(ведом 21)'!M30</f>
        <v>91.9</v>
      </c>
    </row>
    <row r="432" spans="1:8" s="303" customFormat="1" ht="75">
      <c r="A432" s="291"/>
      <c r="B432" s="164" t="s">
        <v>490</v>
      </c>
      <c r="C432" s="744" t="s">
        <v>61</v>
      </c>
      <c r="D432" s="745" t="s">
        <v>65</v>
      </c>
      <c r="E432" s="745" t="s">
        <v>59</v>
      </c>
      <c r="F432" s="746" t="s">
        <v>489</v>
      </c>
      <c r="G432" s="150"/>
      <c r="H432" s="305">
        <f>H433</f>
        <v>13.2</v>
      </c>
    </row>
    <row r="433" spans="1:8" s="303" customFormat="1" ht="37.5">
      <c r="A433" s="291"/>
      <c r="B433" s="164" t="s">
        <v>75</v>
      </c>
      <c r="C433" s="744" t="s">
        <v>61</v>
      </c>
      <c r="D433" s="745" t="s">
        <v>65</v>
      </c>
      <c r="E433" s="745" t="s">
        <v>59</v>
      </c>
      <c r="F433" s="746" t="s">
        <v>489</v>
      </c>
      <c r="G433" s="150" t="s">
        <v>76</v>
      </c>
      <c r="H433" s="305">
        <f>'прил12(ведом 21)'!M51</f>
        <v>13.2</v>
      </c>
    </row>
    <row r="434" spans="1:8" ht="78.75" customHeight="1">
      <c r="A434" s="291"/>
      <c r="B434" s="304" t="s">
        <v>750</v>
      </c>
      <c r="C434" s="744" t="s">
        <v>61</v>
      </c>
      <c r="D434" s="745" t="s">
        <v>65</v>
      </c>
      <c r="E434" s="745" t="s">
        <v>59</v>
      </c>
      <c r="F434" s="746" t="s">
        <v>305</v>
      </c>
      <c r="G434" s="150"/>
      <c r="H434" s="305">
        <f>H435</f>
        <v>66</v>
      </c>
    </row>
    <row r="435" spans="1:8" ht="37.5">
      <c r="A435" s="291"/>
      <c r="B435" s="304" t="s">
        <v>75</v>
      </c>
      <c r="C435" s="744" t="s">
        <v>61</v>
      </c>
      <c r="D435" s="745" t="s">
        <v>65</v>
      </c>
      <c r="E435" s="745" t="s">
        <v>59</v>
      </c>
      <c r="F435" s="746" t="s">
        <v>305</v>
      </c>
      <c r="G435" s="150" t="s">
        <v>76</v>
      </c>
      <c r="H435" s="305">
        <f>'прил12(ведом 21)'!M32</f>
        <v>66</v>
      </c>
    </row>
    <row r="436" spans="1:8" ht="162.75" customHeight="1">
      <c r="A436" s="291"/>
      <c r="B436" s="196" t="s">
        <v>760</v>
      </c>
      <c r="C436" s="744" t="s">
        <v>61</v>
      </c>
      <c r="D436" s="745" t="s">
        <v>65</v>
      </c>
      <c r="E436" s="745" t="s">
        <v>59</v>
      </c>
      <c r="F436" s="746" t="s">
        <v>79</v>
      </c>
      <c r="G436" s="150"/>
      <c r="H436" s="305">
        <f>H437</f>
        <v>636.5</v>
      </c>
    </row>
    <row r="437" spans="1:8" ht="93.75">
      <c r="A437" s="291"/>
      <c r="B437" s="164" t="s">
        <v>69</v>
      </c>
      <c r="C437" s="744" t="s">
        <v>61</v>
      </c>
      <c r="D437" s="745" t="s">
        <v>65</v>
      </c>
      <c r="E437" s="745" t="s">
        <v>59</v>
      </c>
      <c r="F437" s="746" t="s">
        <v>79</v>
      </c>
      <c r="G437" s="150" t="s">
        <v>70</v>
      </c>
      <c r="H437" s="305">
        <f>'прил12(ведом 21)'!M34</f>
        <v>636.5</v>
      </c>
    </row>
    <row r="438" spans="1:8" ht="75">
      <c r="A438" s="291"/>
      <c r="B438" s="304" t="s">
        <v>80</v>
      </c>
      <c r="C438" s="744" t="s">
        <v>61</v>
      </c>
      <c r="D438" s="745" t="s">
        <v>65</v>
      </c>
      <c r="E438" s="745" t="s">
        <v>59</v>
      </c>
      <c r="F438" s="746" t="s">
        <v>81</v>
      </c>
      <c r="G438" s="150"/>
      <c r="H438" s="305">
        <f>SUM(H439:H440)</f>
        <v>3441.6</v>
      </c>
    </row>
    <row r="439" spans="1:8" ht="93.75">
      <c r="A439" s="291"/>
      <c r="B439" s="304" t="s">
        <v>69</v>
      </c>
      <c r="C439" s="744" t="s">
        <v>61</v>
      </c>
      <c r="D439" s="745" t="s">
        <v>65</v>
      </c>
      <c r="E439" s="745" t="s">
        <v>59</v>
      </c>
      <c r="F439" s="746" t="s">
        <v>81</v>
      </c>
      <c r="G439" s="150" t="s">
        <v>70</v>
      </c>
      <c r="H439" s="305">
        <f>'прил12(ведом 21)'!M36</f>
        <v>3251.6</v>
      </c>
    </row>
    <row r="440" spans="1:8" ht="37.5">
      <c r="A440" s="291"/>
      <c r="B440" s="164" t="s">
        <v>75</v>
      </c>
      <c r="C440" s="744" t="s">
        <v>61</v>
      </c>
      <c r="D440" s="745" t="s">
        <v>65</v>
      </c>
      <c r="E440" s="745" t="s">
        <v>59</v>
      </c>
      <c r="F440" s="746" t="s">
        <v>81</v>
      </c>
      <c r="G440" s="150" t="s">
        <v>76</v>
      </c>
      <c r="H440" s="305">
        <f>'прил12(ведом 21)'!M37</f>
        <v>190</v>
      </c>
    </row>
    <row r="441" spans="1:8" ht="56.25">
      <c r="A441" s="291"/>
      <c r="B441" s="164" t="s">
        <v>583</v>
      </c>
      <c r="C441" s="744" t="s">
        <v>61</v>
      </c>
      <c r="D441" s="745" t="s">
        <v>65</v>
      </c>
      <c r="E441" s="745" t="s">
        <v>59</v>
      </c>
      <c r="F441" s="746" t="s">
        <v>82</v>
      </c>
      <c r="G441" s="150"/>
      <c r="H441" s="305">
        <f>H442+H443</f>
        <v>636.70000000000005</v>
      </c>
    </row>
    <row r="442" spans="1:8" ht="93.75">
      <c r="A442" s="291"/>
      <c r="B442" s="164" t="s">
        <v>69</v>
      </c>
      <c r="C442" s="744" t="s">
        <v>61</v>
      </c>
      <c r="D442" s="745" t="s">
        <v>65</v>
      </c>
      <c r="E442" s="745" t="s">
        <v>59</v>
      </c>
      <c r="F442" s="746" t="s">
        <v>82</v>
      </c>
      <c r="G442" s="150" t="s">
        <v>70</v>
      </c>
      <c r="H442" s="305">
        <f>'прил12(ведом 21)'!M39</f>
        <v>632.5</v>
      </c>
    </row>
    <row r="443" spans="1:8" ht="37.5">
      <c r="A443" s="291"/>
      <c r="B443" s="164" t="s">
        <v>75</v>
      </c>
      <c r="C443" s="744" t="s">
        <v>61</v>
      </c>
      <c r="D443" s="745" t="s">
        <v>65</v>
      </c>
      <c r="E443" s="745" t="s">
        <v>59</v>
      </c>
      <c r="F443" s="746" t="s">
        <v>82</v>
      </c>
      <c r="G443" s="150" t="s">
        <v>76</v>
      </c>
      <c r="H443" s="305">
        <f>'прил12(ведом 21)'!M40</f>
        <v>4.2</v>
      </c>
    </row>
    <row r="444" spans="1:8" ht="18.75">
      <c r="A444" s="291"/>
      <c r="B444" s="164" t="s">
        <v>466</v>
      </c>
      <c r="C444" s="744" t="s">
        <v>61</v>
      </c>
      <c r="D444" s="745" t="s">
        <v>65</v>
      </c>
      <c r="E444" s="745" t="s">
        <v>59</v>
      </c>
      <c r="F444" s="746" t="s">
        <v>465</v>
      </c>
      <c r="G444" s="150"/>
      <c r="H444" s="305">
        <f>H445</f>
        <v>66</v>
      </c>
    </row>
    <row r="445" spans="1:8" ht="37.5">
      <c r="A445" s="291"/>
      <c r="B445" s="164" t="s">
        <v>75</v>
      </c>
      <c r="C445" s="744" t="s">
        <v>61</v>
      </c>
      <c r="D445" s="745" t="s">
        <v>65</v>
      </c>
      <c r="E445" s="745" t="s">
        <v>59</v>
      </c>
      <c r="F445" s="746" t="s">
        <v>465</v>
      </c>
      <c r="G445" s="150" t="s">
        <v>76</v>
      </c>
      <c r="H445" s="305">
        <f>'прил12(ведом 21)'!M42</f>
        <v>66</v>
      </c>
    </row>
    <row r="446" spans="1:8" ht="18.75">
      <c r="A446" s="291"/>
      <c r="B446" s="304" t="s">
        <v>83</v>
      </c>
      <c r="C446" s="744" t="s">
        <v>61</v>
      </c>
      <c r="D446" s="745" t="s">
        <v>65</v>
      </c>
      <c r="E446" s="745" t="s">
        <v>84</v>
      </c>
      <c r="F446" s="746" t="s">
        <v>64</v>
      </c>
      <c r="G446" s="150"/>
      <c r="H446" s="305">
        <f>H447+H449</f>
        <v>1344</v>
      </c>
    </row>
    <row r="447" spans="1:8" ht="37.5">
      <c r="A447" s="291"/>
      <c r="B447" s="304" t="s">
        <v>67</v>
      </c>
      <c r="C447" s="744" t="s">
        <v>61</v>
      </c>
      <c r="D447" s="745" t="s">
        <v>65</v>
      </c>
      <c r="E447" s="745" t="s">
        <v>84</v>
      </c>
      <c r="F447" s="746" t="s">
        <v>68</v>
      </c>
      <c r="G447" s="150"/>
      <c r="H447" s="305">
        <f>H448</f>
        <v>113.2</v>
      </c>
    </row>
    <row r="448" spans="1:8" ht="37.5">
      <c r="A448" s="291"/>
      <c r="B448" s="304" t="s">
        <v>75</v>
      </c>
      <c r="C448" s="744" t="s">
        <v>61</v>
      </c>
      <c r="D448" s="745" t="s">
        <v>65</v>
      </c>
      <c r="E448" s="745" t="s">
        <v>84</v>
      </c>
      <c r="F448" s="746" t="s">
        <v>68</v>
      </c>
      <c r="G448" s="150" t="s">
        <v>76</v>
      </c>
      <c r="H448" s="305">
        <f>'прил12(ведом 21)'!M45</f>
        <v>113.2</v>
      </c>
    </row>
    <row r="449" spans="1:8" ht="56.25">
      <c r="A449" s="291"/>
      <c r="B449" s="164" t="s">
        <v>478</v>
      </c>
      <c r="C449" s="744" t="s">
        <v>61</v>
      </c>
      <c r="D449" s="745" t="s">
        <v>65</v>
      </c>
      <c r="E449" s="745" t="s">
        <v>84</v>
      </c>
      <c r="F449" s="746" t="s">
        <v>477</v>
      </c>
      <c r="G449" s="150"/>
      <c r="H449" s="305">
        <f>H450+H451</f>
        <v>1230.8</v>
      </c>
    </row>
    <row r="450" spans="1:8" ht="37.5">
      <c r="A450" s="291"/>
      <c r="B450" s="164" t="s">
        <v>75</v>
      </c>
      <c r="C450" s="744" t="s">
        <v>61</v>
      </c>
      <c r="D450" s="745" t="s">
        <v>65</v>
      </c>
      <c r="E450" s="745" t="s">
        <v>84</v>
      </c>
      <c r="F450" s="746" t="s">
        <v>477</v>
      </c>
      <c r="G450" s="150" t="s">
        <v>76</v>
      </c>
      <c r="H450" s="305">
        <f>'прил12(ведом 21)'!M67</f>
        <v>1000</v>
      </c>
    </row>
    <row r="451" spans="1:8" ht="18.75">
      <c r="A451" s="291"/>
      <c r="B451" s="164" t="s">
        <v>77</v>
      </c>
      <c r="C451" s="744" t="s">
        <v>61</v>
      </c>
      <c r="D451" s="745" t="s">
        <v>65</v>
      </c>
      <c r="E451" s="745" t="s">
        <v>84</v>
      </c>
      <c r="F451" s="746" t="s">
        <v>477</v>
      </c>
      <c r="G451" s="150" t="s">
        <v>78</v>
      </c>
      <c r="H451" s="305">
        <f>'прил12(ведом 21)'!M68</f>
        <v>230.8</v>
      </c>
    </row>
    <row r="452" spans="1:8" ht="18.75">
      <c r="A452" s="291"/>
      <c r="B452" s="304" t="s">
        <v>85</v>
      </c>
      <c r="C452" s="744" t="s">
        <v>61</v>
      </c>
      <c r="D452" s="745" t="s">
        <v>65</v>
      </c>
      <c r="E452" s="745" t="s">
        <v>72</v>
      </c>
      <c r="F452" s="746" t="s">
        <v>64</v>
      </c>
      <c r="G452" s="150"/>
      <c r="H452" s="305">
        <f>H453+H455</f>
        <v>3270.4000000000005</v>
      </c>
    </row>
    <row r="453" spans="1:8" ht="56.25">
      <c r="A453" s="291"/>
      <c r="B453" s="328" t="s">
        <v>429</v>
      </c>
      <c r="C453" s="744" t="s">
        <v>61</v>
      </c>
      <c r="D453" s="745" t="s">
        <v>65</v>
      </c>
      <c r="E453" s="745" t="s">
        <v>72</v>
      </c>
      <c r="F453" s="746" t="s">
        <v>126</v>
      </c>
      <c r="G453" s="150"/>
      <c r="H453" s="305">
        <f>H454</f>
        <v>1213.3</v>
      </c>
    </row>
    <row r="454" spans="1:8" ht="37.5">
      <c r="A454" s="291"/>
      <c r="B454" s="304" t="s">
        <v>75</v>
      </c>
      <c r="C454" s="744" t="s">
        <v>61</v>
      </c>
      <c r="D454" s="745" t="s">
        <v>65</v>
      </c>
      <c r="E454" s="745" t="s">
        <v>72</v>
      </c>
      <c r="F454" s="746" t="s">
        <v>126</v>
      </c>
      <c r="G454" s="150" t="s">
        <v>76</v>
      </c>
      <c r="H454" s="305">
        <f>'прил12(ведом 21)'!M71</f>
        <v>1213.3</v>
      </c>
    </row>
    <row r="455" spans="1:8" ht="56.25">
      <c r="A455" s="291"/>
      <c r="B455" s="304" t="s">
        <v>431</v>
      </c>
      <c r="C455" s="744" t="s">
        <v>61</v>
      </c>
      <c r="D455" s="745" t="s">
        <v>65</v>
      </c>
      <c r="E455" s="745" t="s">
        <v>72</v>
      </c>
      <c r="F455" s="746" t="s">
        <v>430</v>
      </c>
      <c r="G455" s="150"/>
      <c r="H455" s="305">
        <f>H456</f>
        <v>2057.1000000000004</v>
      </c>
    </row>
    <row r="456" spans="1:8" ht="37.5">
      <c r="A456" s="291"/>
      <c r="B456" s="304" t="s">
        <v>75</v>
      </c>
      <c r="C456" s="744" t="s">
        <v>61</v>
      </c>
      <c r="D456" s="745" t="s">
        <v>65</v>
      </c>
      <c r="E456" s="745" t="s">
        <v>72</v>
      </c>
      <c r="F456" s="746" t="s">
        <v>430</v>
      </c>
      <c r="G456" s="150" t="s">
        <v>76</v>
      </c>
      <c r="H456" s="305">
        <f>'прил12(ведом 21)'!M73</f>
        <v>2057.1000000000004</v>
      </c>
    </row>
    <row r="457" spans="1:8" ht="51" customHeight="1">
      <c r="A457" s="329"/>
      <c r="B457" s="334" t="s">
        <v>351</v>
      </c>
      <c r="C457" s="180" t="s">
        <v>61</v>
      </c>
      <c r="D457" s="175" t="s">
        <v>65</v>
      </c>
      <c r="E457" s="175" t="s">
        <v>102</v>
      </c>
      <c r="F457" s="176" t="s">
        <v>64</v>
      </c>
      <c r="G457" s="174"/>
      <c r="H457" s="305">
        <f>H458</f>
        <v>5076.9000000000005</v>
      </c>
    </row>
    <row r="458" spans="1:8" ht="37.5">
      <c r="A458" s="329"/>
      <c r="B458" s="304" t="s">
        <v>800</v>
      </c>
      <c r="C458" s="180" t="s">
        <v>61</v>
      </c>
      <c r="D458" s="175" t="s">
        <v>65</v>
      </c>
      <c r="E458" s="175" t="s">
        <v>102</v>
      </c>
      <c r="F458" s="176" t="s">
        <v>112</v>
      </c>
      <c r="G458" s="174"/>
      <c r="H458" s="305">
        <f>SUM(H459:H461)</f>
        <v>5076.9000000000005</v>
      </c>
    </row>
    <row r="459" spans="1:8" ht="93.75">
      <c r="A459" s="329"/>
      <c r="B459" s="334" t="s">
        <v>69</v>
      </c>
      <c r="C459" s="180" t="s">
        <v>61</v>
      </c>
      <c r="D459" s="175" t="s">
        <v>65</v>
      </c>
      <c r="E459" s="175" t="s">
        <v>102</v>
      </c>
      <c r="F459" s="176" t="s">
        <v>112</v>
      </c>
      <c r="G459" s="174" t="s">
        <v>70</v>
      </c>
      <c r="H459" s="305">
        <f>'прил12(ведом 21)'!M313</f>
        <v>4593.1000000000004</v>
      </c>
    </row>
    <row r="460" spans="1:8" ht="37.5">
      <c r="A460" s="329"/>
      <c r="B460" s="304" t="s">
        <v>75</v>
      </c>
      <c r="C460" s="180" t="s">
        <v>61</v>
      </c>
      <c r="D460" s="175" t="s">
        <v>65</v>
      </c>
      <c r="E460" s="175" t="s">
        <v>102</v>
      </c>
      <c r="F460" s="176" t="s">
        <v>112</v>
      </c>
      <c r="G460" s="174" t="s">
        <v>76</v>
      </c>
      <c r="H460" s="305">
        <f>'прил12(ведом 21)'!M314</f>
        <v>483.7</v>
      </c>
    </row>
    <row r="461" spans="1:8" ht="18.75">
      <c r="A461" s="329"/>
      <c r="B461" s="363" t="s">
        <v>77</v>
      </c>
      <c r="C461" s="180" t="s">
        <v>61</v>
      </c>
      <c r="D461" s="175" t="s">
        <v>65</v>
      </c>
      <c r="E461" s="175" t="s">
        <v>102</v>
      </c>
      <c r="F461" s="176" t="s">
        <v>112</v>
      </c>
      <c r="G461" s="174" t="s">
        <v>78</v>
      </c>
      <c r="H461" s="305">
        <f>'прил12(ведом 21)'!M315</f>
        <v>0.1</v>
      </c>
    </row>
    <row r="462" spans="1:8" ht="38.25" customHeight="1">
      <c r="A462" s="329"/>
      <c r="B462" s="168" t="s">
        <v>472</v>
      </c>
      <c r="C462" s="744" t="s">
        <v>61</v>
      </c>
      <c r="D462" s="745" t="s">
        <v>65</v>
      </c>
      <c r="E462" s="745" t="s">
        <v>100</v>
      </c>
      <c r="F462" s="746" t="s">
        <v>64</v>
      </c>
      <c r="G462" s="150"/>
      <c r="H462" s="305">
        <f>H463</f>
        <v>16.5</v>
      </c>
    </row>
    <row r="463" spans="1:8" ht="18.75">
      <c r="A463" s="329"/>
      <c r="B463" s="168" t="s">
        <v>473</v>
      </c>
      <c r="C463" s="744" t="s">
        <v>61</v>
      </c>
      <c r="D463" s="745" t="s">
        <v>65</v>
      </c>
      <c r="E463" s="745" t="s">
        <v>100</v>
      </c>
      <c r="F463" s="746" t="s">
        <v>474</v>
      </c>
      <c r="G463" s="150"/>
      <c r="H463" s="305">
        <f>H464</f>
        <v>16.5</v>
      </c>
    </row>
    <row r="464" spans="1:8" ht="37.5">
      <c r="A464" s="329"/>
      <c r="B464" s="168" t="s">
        <v>475</v>
      </c>
      <c r="C464" s="744" t="s">
        <v>61</v>
      </c>
      <c r="D464" s="745" t="s">
        <v>65</v>
      </c>
      <c r="E464" s="745" t="s">
        <v>100</v>
      </c>
      <c r="F464" s="746" t="s">
        <v>474</v>
      </c>
      <c r="G464" s="150" t="s">
        <v>476</v>
      </c>
      <c r="H464" s="305">
        <f>'прил12(ведом 21)'!M203</f>
        <v>16.5</v>
      </c>
    </row>
    <row r="465" spans="1:8" ht="35.25" customHeight="1">
      <c r="A465" s="329"/>
      <c r="B465" s="164" t="s">
        <v>905</v>
      </c>
      <c r="C465" s="744" t="s">
        <v>61</v>
      </c>
      <c r="D465" s="745" t="s">
        <v>65</v>
      </c>
      <c r="E465" s="745" t="s">
        <v>92</v>
      </c>
      <c r="F465" s="746" t="s">
        <v>64</v>
      </c>
      <c r="G465" s="150"/>
      <c r="H465" s="305">
        <f>H466</f>
        <v>1332.1</v>
      </c>
    </row>
    <row r="466" spans="1:8" ht="35.25" customHeight="1">
      <c r="A466" s="329"/>
      <c r="B466" s="164" t="s">
        <v>906</v>
      </c>
      <c r="C466" s="744" t="s">
        <v>61</v>
      </c>
      <c r="D466" s="745" t="s">
        <v>65</v>
      </c>
      <c r="E466" s="745" t="s">
        <v>92</v>
      </c>
      <c r="F466" s="746" t="s">
        <v>907</v>
      </c>
      <c r="G466" s="150"/>
      <c r="H466" s="305">
        <f>H467</f>
        <v>1332.1</v>
      </c>
    </row>
    <row r="467" spans="1:8" ht="37.5">
      <c r="A467" s="329"/>
      <c r="B467" s="164" t="s">
        <v>75</v>
      </c>
      <c r="C467" s="744" t="s">
        <v>61</v>
      </c>
      <c r="D467" s="745" t="s">
        <v>65</v>
      </c>
      <c r="E467" s="745" t="s">
        <v>92</v>
      </c>
      <c r="F467" s="746" t="s">
        <v>907</v>
      </c>
      <c r="G467" s="150" t="s">
        <v>76</v>
      </c>
      <c r="H467" s="305">
        <f>'прил12(ведом 21)'!M76</f>
        <v>1332.1</v>
      </c>
    </row>
    <row r="468" spans="1:8" ht="37.5">
      <c r="A468" s="329"/>
      <c r="B468" s="164" t="s">
        <v>396</v>
      </c>
      <c r="C468" s="744" t="s">
        <v>61</v>
      </c>
      <c r="D468" s="745" t="s">
        <v>65</v>
      </c>
      <c r="E468" s="745" t="s">
        <v>109</v>
      </c>
      <c r="F468" s="746" t="s">
        <v>64</v>
      </c>
      <c r="G468" s="174"/>
      <c r="H468" s="305">
        <f>H469+H472</f>
        <v>6584.4</v>
      </c>
    </row>
    <row r="469" spans="1:8" ht="37.5">
      <c r="A469" s="329"/>
      <c r="B469" s="304" t="s">
        <v>800</v>
      </c>
      <c r="C469" s="744" t="s">
        <v>61</v>
      </c>
      <c r="D469" s="745" t="s">
        <v>65</v>
      </c>
      <c r="E469" s="745" t="s">
        <v>109</v>
      </c>
      <c r="F469" s="746" t="s">
        <v>112</v>
      </c>
      <c r="G469" s="150"/>
      <c r="H469" s="305">
        <f>SUM(H470:H471)</f>
        <v>4604.3999999999996</v>
      </c>
    </row>
    <row r="470" spans="1:8" ht="93.75">
      <c r="A470" s="329"/>
      <c r="B470" s="164" t="s">
        <v>69</v>
      </c>
      <c r="C470" s="744" t="s">
        <v>61</v>
      </c>
      <c r="D470" s="745" t="s">
        <v>65</v>
      </c>
      <c r="E470" s="745" t="s">
        <v>109</v>
      </c>
      <c r="F470" s="746" t="s">
        <v>112</v>
      </c>
      <c r="G470" s="150" t="s">
        <v>70</v>
      </c>
      <c r="H470" s="305">
        <f>'прил12(ведом 21)'!M160</f>
        <v>4360.3999999999996</v>
      </c>
    </row>
    <row r="471" spans="1:8" ht="37.5">
      <c r="A471" s="329"/>
      <c r="B471" s="164" t="s">
        <v>75</v>
      </c>
      <c r="C471" s="744" t="s">
        <v>61</v>
      </c>
      <c r="D471" s="745" t="s">
        <v>65</v>
      </c>
      <c r="E471" s="745" t="s">
        <v>109</v>
      </c>
      <c r="F471" s="746" t="s">
        <v>112</v>
      </c>
      <c r="G471" s="150" t="s">
        <v>76</v>
      </c>
      <c r="H471" s="305">
        <f>'прил12(ведом 21)'!M161</f>
        <v>244</v>
      </c>
    </row>
    <row r="472" spans="1:8" ht="37.5">
      <c r="A472" s="329"/>
      <c r="B472" s="164" t="s">
        <v>911</v>
      </c>
      <c r="C472" s="744" t="s">
        <v>61</v>
      </c>
      <c r="D472" s="745" t="s">
        <v>65</v>
      </c>
      <c r="E472" s="745" t="s">
        <v>109</v>
      </c>
      <c r="F472" s="746" t="s">
        <v>910</v>
      </c>
      <c r="G472" s="150"/>
      <c r="H472" s="305">
        <f>H473</f>
        <v>1980</v>
      </c>
    </row>
    <row r="473" spans="1:8" ht="37.5">
      <c r="A473" s="329"/>
      <c r="B473" s="164" t="s">
        <v>75</v>
      </c>
      <c r="C473" s="744" t="s">
        <v>61</v>
      </c>
      <c r="D473" s="745" t="s">
        <v>65</v>
      </c>
      <c r="E473" s="745" t="s">
        <v>109</v>
      </c>
      <c r="F473" s="746" t="s">
        <v>910</v>
      </c>
      <c r="G473" s="150" t="s">
        <v>76</v>
      </c>
      <c r="H473" s="305">
        <f>'прил12(ведом 21)'!M163</f>
        <v>1980</v>
      </c>
    </row>
    <row r="474" spans="1:8" ht="37.5">
      <c r="A474" s="329"/>
      <c r="B474" s="164" t="s">
        <v>818</v>
      </c>
      <c r="C474" s="744" t="s">
        <v>61</v>
      </c>
      <c r="D474" s="745" t="s">
        <v>65</v>
      </c>
      <c r="E474" s="745" t="s">
        <v>586</v>
      </c>
      <c r="F474" s="746" t="s">
        <v>64</v>
      </c>
      <c r="G474" s="150"/>
      <c r="H474" s="305">
        <f>H475</f>
        <v>148</v>
      </c>
    </row>
    <row r="475" spans="1:8" ht="37.5">
      <c r="A475" s="329"/>
      <c r="B475" s="169" t="s">
        <v>819</v>
      </c>
      <c r="C475" s="744" t="s">
        <v>61</v>
      </c>
      <c r="D475" s="745" t="s">
        <v>65</v>
      </c>
      <c r="E475" s="745" t="s">
        <v>586</v>
      </c>
      <c r="F475" s="746" t="s">
        <v>111</v>
      </c>
      <c r="G475" s="150"/>
      <c r="H475" s="305">
        <f>H476</f>
        <v>148</v>
      </c>
    </row>
    <row r="476" spans="1:8" ht="37.5">
      <c r="A476" s="329"/>
      <c r="B476" s="164" t="s">
        <v>75</v>
      </c>
      <c r="C476" s="744" t="s">
        <v>61</v>
      </c>
      <c r="D476" s="745" t="s">
        <v>65</v>
      </c>
      <c r="E476" s="745" t="s">
        <v>586</v>
      </c>
      <c r="F476" s="746" t="s">
        <v>111</v>
      </c>
      <c r="G476" s="150" t="s">
        <v>76</v>
      </c>
      <c r="H476" s="305">
        <f>'прил12(ведом 21)'!M79</f>
        <v>148</v>
      </c>
    </row>
    <row r="477" spans="1:8" ht="37.5">
      <c r="A477" s="329"/>
      <c r="B477" s="164" t="s">
        <v>804</v>
      </c>
      <c r="C477" s="744" t="s">
        <v>61</v>
      </c>
      <c r="D477" s="745" t="s">
        <v>65</v>
      </c>
      <c r="E477" s="745" t="s">
        <v>61</v>
      </c>
      <c r="F477" s="746" t="s">
        <v>64</v>
      </c>
      <c r="G477" s="150"/>
      <c r="H477" s="305">
        <f>H478</f>
        <v>37.4</v>
      </c>
    </row>
    <row r="478" spans="1:8" ht="18.75">
      <c r="A478" s="329"/>
      <c r="B478" s="169" t="s">
        <v>802</v>
      </c>
      <c r="C478" s="744" t="s">
        <v>61</v>
      </c>
      <c r="D478" s="745" t="s">
        <v>65</v>
      </c>
      <c r="E478" s="745" t="s">
        <v>61</v>
      </c>
      <c r="F478" s="746" t="s">
        <v>803</v>
      </c>
      <c r="G478" s="150"/>
      <c r="H478" s="305">
        <f>H479</f>
        <v>37.4</v>
      </c>
    </row>
    <row r="479" spans="1:8" ht="37.5">
      <c r="A479" s="329"/>
      <c r="B479" s="164" t="s">
        <v>75</v>
      </c>
      <c r="C479" s="744" t="s">
        <v>61</v>
      </c>
      <c r="D479" s="745" t="s">
        <v>65</v>
      </c>
      <c r="E479" s="745" t="s">
        <v>61</v>
      </c>
      <c r="F479" s="746" t="s">
        <v>803</v>
      </c>
      <c r="G479" s="150" t="s">
        <v>76</v>
      </c>
      <c r="H479" s="305">
        <f>'прил12(ведом 21)'!M82</f>
        <v>37.4</v>
      </c>
    </row>
    <row r="480" spans="1:8" ht="37.5">
      <c r="A480" s="329"/>
      <c r="B480" s="766" t="s">
        <v>464</v>
      </c>
      <c r="C480" s="769" t="s">
        <v>61</v>
      </c>
      <c r="D480" s="770" t="s">
        <v>65</v>
      </c>
      <c r="E480" s="770" t="s">
        <v>1000</v>
      </c>
      <c r="F480" s="771" t="s">
        <v>64</v>
      </c>
      <c r="G480" s="768"/>
      <c r="H480" s="305">
        <f>H481</f>
        <v>50</v>
      </c>
    </row>
    <row r="481" spans="1:8" ht="37.5">
      <c r="A481" s="329"/>
      <c r="B481" s="766" t="s">
        <v>402</v>
      </c>
      <c r="C481" s="769" t="s">
        <v>61</v>
      </c>
      <c r="D481" s="770" t="s">
        <v>65</v>
      </c>
      <c r="E481" s="770" t="s">
        <v>1000</v>
      </c>
      <c r="F481" s="771" t="s">
        <v>401</v>
      </c>
      <c r="G481" s="768"/>
      <c r="H481" s="305">
        <f>H482</f>
        <v>50</v>
      </c>
    </row>
    <row r="482" spans="1:8" ht="18.75">
      <c r="A482" s="329"/>
      <c r="B482" s="766" t="s">
        <v>77</v>
      </c>
      <c r="C482" s="769" t="s">
        <v>61</v>
      </c>
      <c r="D482" s="770" t="s">
        <v>65</v>
      </c>
      <c r="E482" s="770" t="s">
        <v>1000</v>
      </c>
      <c r="F482" s="771" t="s">
        <v>401</v>
      </c>
      <c r="G482" s="768" t="s">
        <v>78</v>
      </c>
      <c r="H482" s="305">
        <f>'прил12(ведом 21)'!M85</f>
        <v>50</v>
      </c>
    </row>
    <row r="483" spans="1:8" ht="18.75">
      <c r="A483" s="329"/>
      <c r="B483" s="304"/>
      <c r="C483" s="745"/>
      <c r="D483" s="745"/>
      <c r="E483" s="745"/>
      <c r="F483" s="746"/>
      <c r="G483" s="150"/>
      <c r="H483" s="305"/>
    </row>
    <row r="484" spans="1:8" ht="56.25">
      <c r="A484" s="314">
        <v>16</v>
      </c>
      <c r="B484" s="331" t="s">
        <v>255</v>
      </c>
      <c r="C484" s="315" t="s">
        <v>256</v>
      </c>
      <c r="D484" s="315" t="s">
        <v>62</v>
      </c>
      <c r="E484" s="315" t="s">
        <v>63</v>
      </c>
      <c r="F484" s="316" t="s">
        <v>64</v>
      </c>
      <c r="G484" s="301"/>
      <c r="H484" s="302">
        <f>H485</f>
        <v>51.3</v>
      </c>
    </row>
    <row r="485" spans="1:8" ht="30" customHeight="1">
      <c r="A485" s="291"/>
      <c r="B485" s="304" t="s">
        <v>404</v>
      </c>
      <c r="C485" s="744" t="s">
        <v>256</v>
      </c>
      <c r="D485" s="745" t="s">
        <v>65</v>
      </c>
      <c r="E485" s="745" t="s">
        <v>63</v>
      </c>
      <c r="F485" s="746" t="s">
        <v>64</v>
      </c>
      <c r="G485" s="150"/>
      <c r="H485" s="305">
        <f>H486</f>
        <v>51.3</v>
      </c>
    </row>
    <row r="486" spans="1:8" ht="56.25">
      <c r="A486" s="291"/>
      <c r="B486" s="304" t="s">
        <v>326</v>
      </c>
      <c r="C486" s="744" t="s">
        <v>256</v>
      </c>
      <c r="D486" s="745" t="s">
        <v>65</v>
      </c>
      <c r="E486" s="745" t="s">
        <v>57</v>
      </c>
      <c r="F486" s="746" t="s">
        <v>64</v>
      </c>
      <c r="G486" s="150"/>
      <c r="H486" s="305">
        <f>H487</f>
        <v>51.3</v>
      </c>
    </row>
    <row r="487" spans="1:8" ht="37.5">
      <c r="A487" s="291"/>
      <c r="B487" s="304" t="s">
        <v>257</v>
      </c>
      <c r="C487" s="744" t="s">
        <v>256</v>
      </c>
      <c r="D487" s="745" t="s">
        <v>65</v>
      </c>
      <c r="E487" s="745" t="s">
        <v>57</v>
      </c>
      <c r="F487" s="746" t="s">
        <v>320</v>
      </c>
      <c r="G487" s="150"/>
      <c r="H487" s="305">
        <f>H488</f>
        <v>51.3</v>
      </c>
    </row>
    <row r="488" spans="1:8" ht="39" customHeight="1">
      <c r="A488" s="291"/>
      <c r="B488" s="304" t="s">
        <v>97</v>
      </c>
      <c r="C488" s="744" t="s">
        <v>256</v>
      </c>
      <c r="D488" s="745" t="s">
        <v>65</v>
      </c>
      <c r="E488" s="745" t="s">
        <v>57</v>
      </c>
      <c r="F488" s="746" t="s">
        <v>320</v>
      </c>
      <c r="G488" s="150" t="s">
        <v>98</v>
      </c>
      <c r="H488" s="305">
        <f>'прил12(ведом 21)'!M393</f>
        <v>51.3</v>
      </c>
    </row>
    <row r="489" spans="1:8" ht="18.75">
      <c r="A489" s="329"/>
      <c r="B489" s="304"/>
      <c r="C489" s="745"/>
      <c r="D489" s="745"/>
      <c r="E489" s="745"/>
      <c r="F489" s="745"/>
      <c r="G489" s="150"/>
      <c r="H489" s="305"/>
    </row>
    <row r="490" spans="1:8" ht="37.5">
      <c r="A490" s="314">
        <v>17</v>
      </c>
      <c r="B490" s="369" t="s">
        <v>152</v>
      </c>
      <c r="C490" s="315" t="s">
        <v>153</v>
      </c>
      <c r="D490" s="315" t="s">
        <v>62</v>
      </c>
      <c r="E490" s="315" t="s">
        <v>63</v>
      </c>
      <c r="F490" s="315" t="s">
        <v>64</v>
      </c>
      <c r="G490" s="301"/>
      <c r="H490" s="302">
        <f>H491</f>
        <v>4258.2</v>
      </c>
    </row>
    <row r="491" spans="1:8" ht="37.5">
      <c r="A491" s="291"/>
      <c r="B491" s="167" t="s">
        <v>154</v>
      </c>
      <c r="C491" s="744" t="s">
        <v>153</v>
      </c>
      <c r="D491" s="745" t="s">
        <v>65</v>
      </c>
      <c r="E491" s="745" t="s">
        <v>63</v>
      </c>
      <c r="F491" s="746" t="s">
        <v>64</v>
      </c>
      <c r="G491" s="150"/>
      <c r="H491" s="305">
        <f>H492+H496</f>
        <v>4258.2</v>
      </c>
    </row>
    <row r="492" spans="1:8" ht="37.5">
      <c r="A492" s="291"/>
      <c r="B492" s="304" t="s">
        <v>67</v>
      </c>
      <c r="C492" s="744" t="s">
        <v>153</v>
      </c>
      <c r="D492" s="745" t="s">
        <v>65</v>
      </c>
      <c r="E492" s="745" t="s">
        <v>63</v>
      </c>
      <c r="F492" s="746" t="s">
        <v>68</v>
      </c>
      <c r="G492" s="150"/>
      <c r="H492" s="305">
        <f>H493+H494+H495</f>
        <v>3343.9</v>
      </c>
    </row>
    <row r="493" spans="1:8" ht="93.75">
      <c r="A493" s="291"/>
      <c r="B493" s="318" t="s">
        <v>69</v>
      </c>
      <c r="C493" s="744" t="s">
        <v>153</v>
      </c>
      <c r="D493" s="745" t="s">
        <v>65</v>
      </c>
      <c r="E493" s="745" t="s">
        <v>63</v>
      </c>
      <c r="F493" s="746" t="s">
        <v>68</v>
      </c>
      <c r="G493" s="150" t="s">
        <v>70</v>
      </c>
      <c r="H493" s="305">
        <f>'прил12(ведом 21)'!M269</f>
        <v>3098.4</v>
      </c>
    </row>
    <row r="494" spans="1:8" ht="37.5">
      <c r="A494" s="291"/>
      <c r="B494" s="304" t="s">
        <v>75</v>
      </c>
      <c r="C494" s="744" t="s">
        <v>153</v>
      </c>
      <c r="D494" s="745" t="s">
        <v>65</v>
      </c>
      <c r="E494" s="745" t="s">
        <v>63</v>
      </c>
      <c r="F494" s="746" t="s">
        <v>68</v>
      </c>
      <c r="G494" s="150" t="s">
        <v>76</v>
      </c>
      <c r="H494" s="305">
        <f>'прил12(ведом 21)'!M270</f>
        <v>235.5</v>
      </c>
    </row>
    <row r="495" spans="1:8" ht="18.75">
      <c r="A495" s="291"/>
      <c r="B495" s="304" t="s">
        <v>77</v>
      </c>
      <c r="C495" s="744" t="s">
        <v>153</v>
      </c>
      <c r="D495" s="745" t="s">
        <v>65</v>
      </c>
      <c r="E495" s="745" t="s">
        <v>63</v>
      </c>
      <c r="F495" s="746" t="s">
        <v>68</v>
      </c>
      <c r="G495" s="150" t="s">
        <v>78</v>
      </c>
      <c r="H495" s="305">
        <f>'прил12(ведом 21)'!M271</f>
        <v>10</v>
      </c>
    </row>
    <row r="496" spans="1:8" ht="37.5">
      <c r="A496" s="291"/>
      <c r="B496" s="304" t="s">
        <v>258</v>
      </c>
      <c r="C496" s="744" t="s">
        <v>153</v>
      </c>
      <c r="D496" s="745" t="s">
        <v>65</v>
      </c>
      <c r="E496" s="745" t="s">
        <v>63</v>
      </c>
      <c r="F496" s="746" t="s">
        <v>155</v>
      </c>
      <c r="G496" s="150"/>
      <c r="H496" s="305">
        <f>SUM(H497:H497)</f>
        <v>914.3</v>
      </c>
    </row>
    <row r="497" spans="1:8" ht="93.75">
      <c r="A497" s="291"/>
      <c r="B497" s="304" t="s">
        <v>69</v>
      </c>
      <c r="C497" s="744" t="s">
        <v>153</v>
      </c>
      <c r="D497" s="745" t="s">
        <v>65</v>
      </c>
      <c r="E497" s="745" t="s">
        <v>63</v>
      </c>
      <c r="F497" s="746" t="s">
        <v>155</v>
      </c>
      <c r="G497" s="150" t="s">
        <v>70</v>
      </c>
      <c r="H497" s="305">
        <f>'прил12(ведом 21)'!M273</f>
        <v>914.3</v>
      </c>
    </row>
    <row r="498" spans="1:8" ht="112.5">
      <c r="A498" s="713">
        <v>18</v>
      </c>
      <c r="B498" s="759" t="s">
        <v>931</v>
      </c>
      <c r="C498" s="760" t="s">
        <v>927</v>
      </c>
      <c r="D498" s="761" t="s">
        <v>62</v>
      </c>
      <c r="E498" s="761" t="s">
        <v>63</v>
      </c>
      <c r="F498" s="762" t="s">
        <v>64</v>
      </c>
      <c r="G498" s="150"/>
      <c r="H498" s="714">
        <f>H499+H506</f>
        <v>4387.1120000000001</v>
      </c>
    </row>
    <row r="499" spans="1:8" ht="93.75">
      <c r="A499" s="713"/>
      <c r="B499" s="168" t="s">
        <v>990</v>
      </c>
      <c r="C499" s="744" t="s">
        <v>927</v>
      </c>
      <c r="D499" s="745" t="s">
        <v>65</v>
      </c>
      <c r="E499" s="745" t="s">
        <v>63</v>
      </c>
      <c r="F499" s="746" t="s">
        <v>64</v>
      </c>
      <c r="G499" s="289"/>
      <c r="H499" s="598">
        <f>H500+H503</f>
        <v>1060</v>
      </c>
    </row>
    <row r="500" spans="1:8" ht="56.25">
      <c r="A500" s="713"/>
      <c r="B500" s="168" t="s">
        <v>991</v>
      </c>
      <c r="C500" s="744" t="s">
        <v>927</v>
      </c>
      <c r="D500" s="745" t="s">
        <v>65</v>
      </c>
      <c r="E500" s="745" t="s">
        <v>57</v>
      </c>
      <c r="F500" s="746" t="s">
        <v>64</v>
      </c>
      <c r="G500" s="289"/>
      <c r="H500" s="598">
        <f>H501</f>
        <v>210</v>
      </c>
    </row>
    <row r="501" spans="1:8" s="210" customFormat="1" ht="37.5">
      <c r="A501" s="713"/>
      <c r="B501" s="772" t="s">
        <v>1001</v>
      </c>
      <c r="C501" s="769" t="s">
        <v>927</v>
      </c>
      <c r="D501" s="770" t="s">
        <v>65</v>
      </c>
      <c r="E501" s="770" t="s">
        <v>57</v>
      </c>
      <c r="F501" s="771" t="s">
        <v>1002</v>
      </c>
      <c r="G501" s="768"/>
      <c r="H501" s="598">
        <f>H502</f>
        <v>210</v>
      </c>
    </row>
    <row r="502" spans="1:8" s="210" customFormat="1" ht="37.5">
      <c r="A502" s="713"/>
      <c r="B502" s="772" t="s">
        <v>141</v>
      </c>
      <c r="C502" s="769" t="s">
        <v>927</v>
      </c>
      <c r="D502" s="770" t="s">
        <v>65</v>
      </c>
      <c r="E502" s="770" t="s">
        <v>57</v>
      </c>
      <c r="F502" s="771" t="s">
        <v>1002</v>
      </c>
      <c r="G502" s="768" t="s">
        <v>142</v>
      </c>
      <c r="H502" s="598">
        <f>'прил12(ведом 21)'!M185</f>
        <v>210</v>
      </c>
    </row>
    <row r="503" spans="1:8" ht="56.25">
      <c r="A503" s="713"/>
      <c r="B503" s="168" t="s">
        <v>992</v>
      </c>
      <c r="C503" s="744" t="s">
        <v>927</v>
      </c>
      <c r="D503" s="745" t="s">
        <v>65</v>
      </c>
      <c r="E503" s="745" t="s">
        <v>59</v>
      </c>
      <c r="F503" s="746" t="s">
        <v>64</v>
      </c>
      <c r="G503" s="150"/>
      <c r="H503" s="598">
        <f>H504</f>
        <v>850</v>
      </c>
    </row>
    <row r="504" spans="1:8" ht="37.5">
      <c r="A504" s="713"/>
      <c r="B504" s="772" t="s">
        <v>1001</v>
      </c>
      <c r="C504" s="769" t="s">
        <v>927</v>
      </c>
      <c r="D504" s="770" t="s">
        <v>65</v>
      </c>
      <c r="E504" s="770" t="s">
        <v>59</v>
      </c>
      <c r="F504" s="771" t="s">
        <v>1002</v>
      </c>
      <c r="G504" s="768"/>
      <c r="H504" s="598">
        <f>H505</f>
        <v>850</v>
      </c>
    </row>
    <row r="505" spans="1:8" ht="37.5">
      <c r="A505" s="713"/>
      <c r="B505" s="772" t="s">
        <v>141</v>
      </c>
      <c r="C505" s="769" t="s">
        <v>927</v>
      </c>
      <c r="D505" s="770" t="s">
        <v>65</v>
      </c>
      <c r="E505" s="770" t="s">
        <v>59</v>
      </c>
      <c r="F505" s="771" t="s">
        <v>1002</v>
      </c>
      <c r="G505" s="768" t="s">
        <v>142</v>
      </c>
      <c r="H505" s="598">
        <f>'прил12(ведом 21)'!M190</f>
        <v>850</v>
      </c>
    </row>
    <row r="506" spans="1:8" ht="93.75">
      <c r="A506" s="291"/>
      <c r="B506" s="164" t="s">
        <v>928</v>
      </c>
      <c r="C506" s="744" t="s">
        <v>927</v>
      </c>
      <c r="D506" s="745" t="s">
        <v>110</v>
      </c>
      <c r="E506" s="745" t="s">
        <v>63</v>
      </c>
      <c r="F506" s="746" t="s">
        <v>64</v>
      </c>
      <c r="G506" s="150"/>
      <c r="H506" s="305">
        <f>H507+H510+H513+H516+H519+H522</f>
        <v>3327.1120000000001</v>
      </c>
    </row>
    <row r="507" spans="1:8" ht="75">
      <c r="A507" s="291"/>
      <c r="B507" s="168" t="s">
        <v>929</v>
      </c>
      <c r="C507" s="744" t="s">
        <v>927</v>
      </c>
      <c r="D507" s="745" t="s">
        <v>110</v>
      </c>
      <c r="E507" s="745" t="s">
        <v>57</v>
      </c>
      <c r="F507" s="746" t="s">
        <v>64</v>
      </c>
      <c r="G507" s="150"/>
      <c r="H507" s="305">
        <f>H508</f>
        <v>1747.2239999999999</v>
      </c>
    </row>
    <row r="508" spans="1:8" ht="75">
      <c r="A508" s="291"/>
      <c r="B508" s="168" t="s">
        <v>930</v>
      </c>
      <c r="C508" s="744" t="s">
        <v>927</v>
      </c>
      <c r="D508" s="745" t="s">
        <v>110</v>
      </c>
      <c r="E508" s="745" t="s">
        <v>57</v>
      </c>
      <c r="F508" s="746" t="s">
        <v>932</v>
      </c>
      <c r="G508" s="150"/>
      <c r="H508" s="305">
        <f>H509</f>
        <v>1747.2239999999999</v>
      </c>
    </row>
    <row r="509" spans="1:8" ht="18.75">
      <c r="A509" s="291"/>
      <c r="B509" s="164" t="s">
        <v>144</v>
      </c>
      <c r="C509" s="744" t="s">
        <v>927</v>
      </c>
      <c r="D509" s="745" t="s">
        <v>110</v>
      </c>
      <c r="E509" s="745" t="s">
        <v>57</v>
      </c>
      <c r="F509" s="746" t="s">
        <v>932</v>
      </c>
      <c r="G509" s="150" t="s">
        <v>145</v>
      </c>
      <c r="H509" s="305">
        <f>'прил12(ведом 21)'!M210</f>
        <v>1747.2239999999999</v>
      </c>
    </row>
    <row r="510" spans="1:8" ht="56.25">
      <c r="A510" s="291"/>
      <c r="B510" s="164" t="s">
        <v>986</v>
      </c>
      <c r="C510" s="744" t="s">
        <v>927</v>
      </c>
      <c r="D510" s="745" t="s">
        <v>110</v>
      </c>
      <c r="E510" s="745" t="s">
        <v>59</v>
      </c>
      <c r="F510" s="746" t="s">
        <v>64</v>
      </c>
      <c r="G510" s="150"/>
      <c r="H510" s="305">
        <f>H511</f>
        <v>1078.8879999999999</v>
      </c>
    </row>
    <row r="511" spans="1:8" ht="75">
      <c r="A511" s="291"/>
      <c r="B511" s="164" t="s">
        <v>930</v>
      </c>
      <c r="C511" s="744" t="s">
        <v>927</v>
      </c>
      <c r="D511" s="745" t="s">
        <v>110</v>
      </c>
      <c r="E511" s="745" t="s">
        <v>59</v>
      </c>
      <c r="F511" s="746" t="s">
        <v>932</v>
      </c>
      <c r="G511" s="150"/>
      <c r="H511" s="305">
        <f>H512</f>
        <v>1078.8879999999999</v>
      </c>
    </row>
    <row r="512" spans="1:8" ht="18.75">
      <c r="A512" s="291"/>
      <c r="B512" s="164" t="s">
        <v>144</v>
      </c>
      <c r="C512" s="744" t="s">
        <v>927</v>
      </c>
      <c r="D512" s="745" t="s">
        <v>110</v>
      </c>
      <c r="E512" s="745" t="s">
        <v>59</v>
      </c>
      <c r="F512" s="746" t="s">
        <v>932</v>
      </c>
      <c r="G512" s="150" t="s">
        <v>145</v>
      </c>
      <c r="H512" s="166">
        <f>'прил12(ведом 21)'!M213</f>
        <v>1078.8879999999999</v>
      </c>
    </row>
    <row r="513" spans="1:8" ht="112.5">
      <c r="A513" s="291"/>
      <c r="B513" s="705" t="s">
        <v>998</v>
      </c>
      <c r="C513" s="708" t="s">
        <v>927</v>
      </c>
      <c r="D513" s="709" t="s">
        <v>110</v>
      </c>
      <c r="E513" s="709" t="s">
        <v>84</v>
      </c>
      <c r="F513" s="710" t="s">
        <v>64</v>
      </c>
      <c r="G513" s="150"/>
      <c r="H513" s="166">
        <f>H514</f>
        <v>63</v>
      </c>
    </row>
    <row r="514" spans="1:8" ht="75">
      <c r="A514" s="291"/>
      <c r="B514" s="705" t="s">
        <v>930</v>
      </c>
      <c r="C514" s="708" t="s">
        <v>927</v>
      </c>
      <c r="D514" s="709" t="s">
        <v>110</v>
      </c>
      <c r="E514" s="709" t="s">
        <v>84</v>
      </c>
      <c r="F514" s="710" t="s">
        <v>932</v>
      </c>
      <c r="G514" s="150"/>
      <c r="H514" s="166">
        <f>H515</f>
        <v>63</v>
      </c>
    </row>
    <row r="515" spans="1:8" ht="18.75">
      <c r="A515" s="291"/>
      <c r="B515" s="164" t="s">
        <v>144</v>
      </c>
      <c r="C515" s="708" t="s">
        <v>927</v>
      </c>
      <c r="D515" s="709" t="s">
        <v>110</v>
      </c>
      <c r="E515" s="709" t="s">
        <v>84</v>
      </c>
      <c r="F515" s="710" t="s">
        <v>932</v>
      </c>
      <c r="G515" s="150" t="s">
        <v>145</v>
      </c>
      <c r="H515" s="166">
        <f>'прил12(ведом 21)'!M216</f>
        <v>63</v>
      </c>
    </row>
    <row r="516" spans="1:8" ht="112.5">
      <c r="A516" s="291"/>
      <c r="B516" s="705" t="s">
        <v>999</v>
      </c>
      <c r="C516" s="708" t="s">
        <v>927</v>
      </c>
      <c r="D516" s="709" t="s">
        <v>110</v>
      </c>
      <c r="E516" s="709" t="s">
        <v>72</v>
      </c>
      <c r="F516" s="710" t="s">
        <v>64</v>
      </c>
      <c r="G516" s="150"/>
      <c r="H516" s="166">
        <f>H517</f>
        <v>202</v>
      </c>
    </row>
    <row r="517" spans="1:8" ht="75">
      <c r="A517" s="291"/>
      <c r="B517" s="705" t="s">
        <v>930</v>
      </c>
      <c r="C517" s="708" t="s">
        <v>927</v>
      </c>
      <c r="D517" s="709" t="s">
        <v>110</v>
      </c>
      <c r="E517" s="709" t="s">
        <v>72</v>
      </c>
      <c r="F517" s="710" t="s">
        <v>932</v>
      </c>
      <c r="G517" s="150"/>
      <c r="H517" s="166">
        <f>H518</f>
        <v>202</v>
      </c>
    </row>
    <row r="518" spans="1:8" ht="18.75">
      <c r="A518" s="291"/>
      <c r="B518" s="164" t="s">
        <v>144</v>
      </c>
      <c r="C518" s="708" t="s">
        <v>927</v>
      </c>
      <c r="D518" s="709" t="s">
        <v>110</v>
      </c>
      <c r="E518" s="709" t="s">
        <v>72</v>
      </c>
      <c r="F518" s="710" t="s">
        <v>932</v>
      </c>
      <c r="G518" s="289" t="s">
        <v>145</v>
      </c>
      <c r="H518" s="305">
        <f>'прил12(ведом 21)'!M219</f>
        <v>202</v>
      </c>
    </row>
    <row r="519" spans="1:8" ht="93.75">
      <c r="A519" s="291"/>
      <c r="B519" s="705" t="s">
        <v>1008</v>
      </c>
      <c r="C519" s="708" t="s">
        <v>927</v>
      </c>
      <c r="D519" s="709" t="s">
        <v>110</v>
      </c>
      <c r="E519" s="709" t="s">
        <v>86</v>
      </c>
      <c r="F519" s="710" t="s">
        <v>64</v>
      </c>
      <c r="G519" s="289"/>
      <c r="H519" s="305">
        <f>H520</f>
        <v>200</v>
      </c>
    </row>
    <row r="520" spans="1:8" ht="75">
      <c r="A520" s="291"/>
      <c r="B520" s="705" t="s">
        <v>930</v>
      </c>
      <c r="C520" s="708" t="s">
        <v>927</v>
      </c>
      <c r="D520" s="709" t="s">
        <v>110</v>
      </c>
      <c r="E520" s="709" t="s">
        <v>86</v>
      </c>
      <c r="F520" s="710" t="s">
        <v>932</v>
      </c>
      <c r="G520" s="289"/>
      <c r="H520" s="305">
        <f>H521</f>
        <v>200</v>
      </c>
    </row>
    <row r="521" spans="1:8" ht="18.75">
      <c r="A521" s="291"/>
      <c r="B521" s="705" t="s">
        <v>144</v>
      </c>
      <c r="C521" s="708" t="s">
        <v>927</v>
      </c>
      <c r="D521" s="709" t="s">
        <v>110</v>
      </c>
      <c r="E521" s="709" t="s">
        <v>86</v>
      </c>
      <c r="F521" s="710" t="s">
        <v>932</v>
      </c>
      <c r="G521" s="289" t="s">
        <v>145</v>
      </c>
      <c r="H521" s="305">
        <f>'прил12(ведом 21)'!M222</f>
        <v>200</v>
      </c>
    </row>
    <row r="522" spans="1:8" ht="18.75">
      <c r="A522" s="291"/>
      <c r="B522" s="705" t="s">
        <v>1009</v>
      </c>
      <c r="C522" s="708" t="s">
        <v>927</v>
      </c>
      <c r="D522" s="709" t="s">
        <v>110</v>
      </c>
      <c r="E522" s="709" t="s">
        <v>102</v>
      </c>
      <c r="F522" s="710" t="s">
        <v>64</v>
      </c>
      <c r="G522" s="289"/>
      <c r="H522" s="305">
        <f>H523</f>
        <v>36</v>
      </c>
    </row>
    <row r="523" spans="1:8" ht="75">
      <c r="A523" s="291"/>
      <c r="B523" s="705" t="s">
        <v>1010</v>
      </c>
      <c r="C523" s="708" t="s">
        <v>927</v>
      </c>
      <c r="D523" s="709" t="s">
        <v>110</v>
      </c>
      <c r="E523" s="709" t="s">
        <v>102</v>
      </c>
      <c r="F523" s="710" t="s">
        <v>932</v>
      </c>
      <c r="G523" s="289"/>
      <c r="H523" s="305">
        <f>H524</f>
        <v>36</v>
      </c>
    </row>
    <row r="524" spans="1:8" ht="18.75">
      <c r="A524" s="291"/>
      <c r="B524" s="705" t="s">
        <v>144</v>
      </c>
      <c r="C524" s="708" t="s">
        <v>927</v>
      </c>
      <c r="D524" s="709" t="s">
        <v>110</v>
      </c>
      <c r="E524" s="709" t="s">
        <v>102</v>
      </c>
      <c r="F524" s="710" t="s">
        <v>932</v>
      </c>
      <c r="G524" s="289" t="s">
        <v>145</v>
      </c>
      <c r="H524" s="305">
        <f>'прил12(ведом 21)'!M225</f>
        <v>36</v>
      </c>
    </row>
    <row r="525" spans="1:8" ht="18.75">
      <c r="A525" s="291"/>
      <c r="B525" s="164"/>
      <c r="C525" s="739"/>
      <c r="D525" s="739"/>
      <c r="E525" s="739"/>
      <c r="F525" s="739"/>
      <c r="G525" s="289"/>
      <c r="H525" s="305"/>
    </row>
    <row r="526" spans="1:8" s="303" customFormat="1" ht="44.25" customHeight="1">
      <c r="A526" s="314">
        <v>19</v>
      </c>
      <c r="B526" s="663" t="s">
        <v>758</v>
      </c>
      <c r="C526" s="315" t="s">
        <v>89</v>
      </c>
      <c r="D526" s="315" t="s">
        <v>62</v>
      </c>
      <c r="E526" s="315" t="s">
        <v>63</v>
      </c>
      <c r="F526" s="315" t="s">
        <v>64</v>
      </c>
      <c r="G526" s="301"/>
      <c r="H526" s="302">
        <f>H527</f>
        <v>7566.8879999999999</v>
      </c>
    </row>
    <row r="527" spans="1:8" ht="18.600000000000001" customHeight="1">
      <c r="A527" s="291"/>
      <c r="B527" s="318" t="s">
        <v>754</v>
      </c>
      <c r="C527" s="744" t="s">
        <v>89</v>
      </c>
      <c r="D527" s="745" t="s">
        <v>65</v>
      </c>
      <c r="E527" s="745" t="s">
        <v>63</v>
      </c>
      <c r="F527" s="746" t="s">
        <v>64</v>
      </c>
      <c r="G527" s="150"/>
      <c r="H527" s="305">
        <f>H528</f>
        <v>7566.8879999999999</v>
      </c>
    </row>
    <row r="528" spans="1:8" ht="37.5">
      <c r="A528" s="291"/>
      <c r="B528" s="304" t="s">
        <v>752</v>
      </c>
      <c r="C528" s="744" t="s">
        <v>89</v>
      </c>
      <c r="D528" s="745" t="s">
        <v>65</v>
      </c>
      <c r="E528" s="745" t="s">
        <v>63</v>
      </c>
      <c r="F528" s="746" t="s">
        <v>90</v>
      </c>
      <c r="G528" s="150"/>
      <c r="H528" s="305">
        <f>H529</f>
        <v>7566.8879999999999</v>
      </c>
    </row>
    <row r="529" spans="1:8" ht="18.75">
      <c r="A529" s="291"/>
      <c r="B529" s="304" t="s">
        <v>77</v>
      </c>
      <c r="C529" s="744" t="s">
        <v>89</v>
      </c>
      <c r="D529" s="745" t="s">
        <v>65</v>
      </c>
      <c r="E529" s="745" t="s">
        <v>63</v>
      </c>
      <c r="F529" s="746" t="s">
        <v>90</v>
      </c>
      <c r="G529" s="150" t="s">
        <v>78</v>
      </c>
      <c r="H529" s="305">
        <f>'прил12(ведом 21)'!M56</f>
        <v>7566.8879999999999</v>
      </c>
    </row>
    <row r="530" spans="1:8" ht="18.75">
      <c r="A530" s="370"/>
      <c r="B530" s="371"/>
      <c r="C530" s="372"/>
      <c r="D530" s="372"/>
      <c r="E530" s="372"/>
      <c r="F530" s="372"/>
      <c r="G530" s="372"/>
      <c r="H530" s="373"/>
    </row>
    <row r="531" spans="1:8" ht="18.75">
      <c r="A531" s="282"/>
      <c r="B531" s="283"/>
      <c r="C531" s="284"/>
      <c r="D531" s="284"/>
      <c r="E531" s="284"/>
      <c r="F531" s="284"/>
      <c r="G531" s="374"/>
    </row>
    <row r="532" spans="1:8" ht="18.75">
      <c r="A532" s="375" t="s">
        <v>467</v>
      </c>
      <c r="B532" s="283"/>
      <c r="C532" s="284"/>
      <c r="D532" s="284"/>
      <c r="E532" s="284"/>
      <c r="F532" s="284"/>
      <c r="G532" s="374"/>
    </row>
    <row r="533" spans="1:8" ht="18.75">
      <c r="A533" s="375" t="s">
        <v>468</v>
      </c>
      <c r="B533" s="283"/>
      <c r="C533" s="284"/>
      <c r="D533" s="284"/>
      <c r="E533" s="284"/>
      <c r="F533" s="284"/>
      <c r="G533" s="374"/>
    </row>
    <row r="534" spans="1:8" ht="18.75">
      <c r="A534" s="376" t="s">
        <v>469</v>
      </c>
      <c r="B534" s="283"/>
      <c r="C534" s="280"/>
      <c r="D534" s="284"/>
      <c r="E534" s="284"/>
      <c r="F534" s="284"/>
      <c r="G534" s="280"/>
      <c r="H534" s="377" t="s">
        <v>494</v>
      </c>
    </row>
    <row r="535" spans="1:8">
      <c r="A535" s="282"/>
      <c r="B535" s="283"/>
      <c r="C535" s="284"/>
      <c r="D535" s="284"/>
      <c r="E535" s="284"/>
      <c r="F535" s="284"/>
    </row>
    <row r="536" spans="1:8">
      <c r="A536" s="282"/>
      <c r="B536" s="283"/>
      <c r="C536" s="284"/>
      <c r="D536" s="284"/>
      <c r="E536" s="284"/>
      <c r="F536" s="284"/>
    </row>
    <row r="537" spans="1:8">
      <c r="A537" s="282"/>
      <c r="B537" s="283"/>
      <c r="C537" s="284"/>
      <c r="D537" s="284"/>
      <c r="E537" s="284"/>
      <c r="F537" s="284"/>
    </row>
    <row r="538" spans="1:8" ht="18.75">
      <c r="A538" s="282"/>
      <c r="B538" s="283"/>
      <c r="C538" s="284"/>
      <c r="D538" s="284"/>
      <c r="E538" s="284"/>
      <c r="F538" s="284"/>
      <c r="G538" s="374"/>
    </row>
    <row r="539" spans="1:8">
      <c r="B539" s="276" t="s">
        <v>259</v>
      </c>
      <c r="H539" s="281">
        <f>H14+H135+H185+H220+H245+H279+H301+H335+H383+H392+H398+H408+H416+H422+H371+H484</f>
        <v>1578192.1900000004</v>
      </c>
    </row>
    <row r="541" spans="1:8">
      <c r="H541" s="281">
        <f>(H539/H13)*100</f>
        <v>98.983181424883057</v>
      </c>
    </row>
    <row r="543" spans="1:8">
      <c r="B543" s="276" t="s">
        <v>260</v>
      </c>
      <c r="H543" s="281">
        <f>H490+H526</f>
        <v>11825.088</v>
      </c>
    </row>
    <row r="544" spans="1:8">
      <c r="H544" s="281">
        <f>(H543/H545)*100</f>
        <v>0.74370814478658742</v>
      </c>
    </row>
    <row r="545" spans="8:8">
      <c r="H545" s="281">
        <f>H539+H543</f>
        <v>1590017.2780000004</v>
      </c>
    </row>
  </sheetData>
  <autoFilter ref="A4:J545"/>
  <mergeCells count="3">
    <mergeCell ref="A8:H8"/>
    <mergeCell ref="C11:F11"/>
    <mergeCell ref="C12:F12"/>
  </mergeCells>
  <printOptions horizontalCentered="1"/>
  <pageMargins left="1.1811023622047245" right="0.39370078740157483" top="0.78740157480314965" bottom="0.78740157480314965" header="0" footer="0"/>
  <pageSetup paperSize="9" scale="68" fitToHeight="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L429"/>
  <sheetViews>
    <sheetView zoomScale="80" zoomScaleNormal="80" zoomScaleSheetLayoutView="40" workbookViewId="0">
      <pane ySplit="5" topLeftCell="A6" activePane="bottomLeft" state="frozen"/>
      <selection activeCell="G563" sqref="G563"/>
      <selection pane="bottomLeft" activeCell="I2" sqref="I2"/>
    </sheetView>
  </sheetViews>
  <sheetFormatPr defaultColWidth="9.140625" defaultRowHeight="15.75"/>
  <cols>
    <col min="1" max="1" width="4.5703125" style="275" customWidth="1"/>
    <col min="2" max="2" width="62.42578125" style="276" customWidth="1"/>
    <col min="3" max="3" width="3.140625" style="277" customWidth="1"/>
    <col min="4" max="4" width="2.28515625" style="277" customWidth="1"/>
    <col min="5" max="5" width="3" style="277" customWidth="1"/>
    <col min="6" max="6" width="8" style="277" customWidth="1"/>
    <col min="7" max="7" width="5.5703125" style="278" customWidth="1"/>
    <col min="8" max="8" width="14.140625" style="435" customWidth="1"/>
    <col min="9" max="9" width="13.28515625" style="280" customWidth="1"/>
    <col min="10" max="10" width="17.7109375" style="280" customWidth="1"/>
    <col min="11" max="11" width="17.28515625" style="280" customWidth="1"/>
    <col min="12" max="12" width="15.5703125" style="280" customWidth="1"/>
    <col min="13" max="16384" width="9.140625" style="280"/>
  </cols>
  <sheetData>
    <row r="1" spans="1:12" s="194" customFormat="1" ht="18.75">
      <c r="I1" s="201" t="s">
        <v>539</v>
      </c>
    </row>
    <row r="2" spans="1:12" s="194" customFormat="1" ht="18.75">
      <c r="I2" s="201" t="s">
        <v>1017</v>
      </c>
    </row>
    <row r="4" spans="1:12" ht="18.75">
      <c r="I4" s="279" t="s">
        <v>569</v>
      </c>
    </row>
    <row r="5" spans="1:12" ht="18.75">
      <c r="I5" s="496" t="s">
        <v>922</v>
      </c>
    </row>
    <row r="8" spans="1:12" ht="76.5" customHeight="1">
      <c r="A8" s="841" t="s">
        <v>775</v>
      </c>
      <c r="B8" s="841"/>
      <c r="C8" s="841"/>
      <c r="D8" s="841"/>
      <c r="E8" s="841"/>
      <c r="F8" s="841"/>
      <c r="G8" s="841"/>
      <c r="H8" s="841"/>
      <c r="I8" s="841"/>
    </row>
    <row r="9" spans="1:12">
      <c r="A9" s="280"/>
      <c r="B9" s="280"/>
      <c r="C9" s="275"/>
      <c r="D9" s="275"/>
      <c r="E9" s="275"/>
      <c r="F9" s="275"/>
      <c r="G9" s="281"/>
    </row>
    <row r="10" spans="1:12" ht="18.75">
      <c r="A10" s="282"/>
      <c r="B10" s="283"/>
      <c r="C10" s="284"/>
      <c r="D10" s="284"/>
      <c r="E10" s="284"/>
      <c r="F10" s="284"/>
      <c r="G10" s="280"/>
      <c r="I10" s="485" t="s">
        <v>42</v>
      </c>
    </row>
    <row r="11" spans="1:12" ht="18.75">
      <c r="A11" s="849" t="s">
        <v>43</v>
      </c>
      <c r="B11" s="850" t="s">
        <v>44</v>
      </c>
      <c r="C11" s="850" t="s">
        <v>48</v>
      </c>
      <c r="D11" s="850"/>
      <c r="E11" s="850"/>
      <c r="F11" s="850"/>
      <c r="G11" s="850" t="s">
        <v>49</v>
      </c>
      <c r="H11" s="848" t="s">
        <v>33</v>
      </c>
      <c r="I11" s="848"/>
    </row>
    <row r="12" spans="1:12" ht="40.9" customHeight="1">
      <c r="A12" s="849"/>
      <c r="B12" s="850"/>
      <c r="C12" s="850"/>
      <c r="D12" s="850"/>
      <c r="E12" s="850"/>
      <c r="F12" s="850"/>
      <c r="G12" s="850"/>
      <c r="H12" s="486" t="s">
        <v>580</v>
      </c>
      <c r="I12" s="486" t="s">
        <v>776</v>
      </c>
    </row>
    <row r="13" spans="1:12" ht="18.75">
      <c r="A13" s="287">
        <v>1</v>
      </c>
      <c r="B13" s="288">
        <v>2</v>
      </c>
      <c r="C13" s="845" t="s">
        <v>50</v>
      </c>
      <c r="D13" s="846"/>
      <c r="E13" s="846"/>
      <c r="F13" s="847"/>
      <c r="G13" s="289" t="s">
        <v>51</v>
      </c>
      <c r="H13" s="290">
        <v>5</v>
      </c>
      <c r="I13" s="290">
        <v>6</v>
      </c>
    </row>
    <row r="14" spans="1:12" ht="18.75">
      <c r="A14" s="291"/>
      <c r="B14" s="292" t="s">
        <v>224</v>
      </c>
      <c r="C14" s="293"/>
      <c r="D14" s="293"/>
      <c r="E14" s="293"/>
      <c r="F14" s="293"/>
      <c r="G14" s="294"/>
      <c r="H14" s="295">
        <f>H15+H96+H136+H163+H186+H212+H229+H255+H291+H303+H312+H318+H328+H342+H396+H403+H408+H336</f>
        <v>1484755.3</v>
      </c>
      <c r="I14" s="295">
        <f>I15+I96+I136+I163+I186+I212+I229+I255+I291+I303+I312+I318+I328+I342+I396+I403+I408+I336</f>
        <v>1512134.5</v>
      </c>
      <c r="J14" s="487"/>
      <c r="K14" s="487">
        <f>H14-'прил13(ведом 22-23)'!M15</f>
        <v>0</v>
      </c>
      <c r="L14" s="487">
        <f>I14-'прил13(ведом 22-23)'!N15</f>
        <v>0</v>
      </c>
    </row>
    <row r="15" spans="1:12" s="303" customFormat="1" ht="56.25">
      <c r="A15" s="297">
        <v>1</v>
      </c>
      <c r="B15" s="298" t="s">
        <v>227</v>
      </c>
      <c r="C15" s="299" t="s">
        <v>59</v>
      </c>
      <c r="D15" s="299" t="s">
        <v>62</v>
      </c>
      <c r="E15" s="299" t="s">
        <v>63</v>
      </c>
      <c r="F15" s="300" t="s">
        <v>64</v>
      </c>
      <c r="G15" s="301"/>
      <c r="H15" s="302">
        <f>H16+H53+H66</f>
        <v>1013547</v>
      </c>
      <c r="I15" s="302">
        <f>I16+I53+I66</f>
        <v>1007074.2</v>
      </c>
    </row>
    <row r="16" spans="1:12" ht="24" customHeight="1">
      <c r="A16" s="291"/>
      <c r="B16" s="304" t="s">
        <v>228</v>
      </c>
      <c r="C16" s="739" t="s">
        <v>59</v>
      </c>
      <c r="D16" s="739" t="s">
        <v>65</v>
      </c>
      <c r="E16" s="739" t="s">
        <v>63</v>
      </c>
      <c r="F16" s="740" t="s">
        <v>64</v>
      </c>
      <c r="G16" s="289"/>
      <c r="H16" s="305">
        <f>H17+H27</f>
        <v>886177.1</v>
      </c>
      <c r="I16" s="305">
        <f>I17+I27</f>
        <v>879606.29999999993</v>
      </c>
    </row>
    <row r="17" spans="1:9" ht="18.75">
      <c r="A17" s="291"/>
      <c r="B17" s="304" t="s">
        <v>307</v>
      </c>
      <c r="C17" s="744" t="s">
        <v>59</v>
      </c>
      <c r="D17" s="745" t="s">
        <v>65</v>
      </c>
      <c r="E17" s="745" t="s">
        <v>57</v>
      </c>
      <c r="F17" s="746" t="s">
        <v>64</v>
      </c>
      <c r="G17" s="289"/>
      <c r="H17" s="305">
        <f>H20+H23+H25+H18</f>
        <v>318381</v>
      </c>
      <c r="I17" s="305">
        <f>I20+I23+I25+I18</f>
        <v>317984.90000000002</v>
      </c>
    </row>
    <row r="18" spans="1:9" ht="37.5">
      <c r="A18" s="291"/>
      <c r="B18" s="304" t="s">
        <v>800</v>
      </c>
      <c r="C18" s="744" t="s">
        <v>59</v>
      </c>
      <c r="D18" s="745" t="s">
        <v>65</v>
      </c>
      <c r="E18" s="745" t="s">
        <v>57</v>
      </c>
      <c r="F18" s="746" t="s">
        <v>112</v>
      </c>
      <c r="G18" s="150"/>
      <c r="H18" s="305">
        <f>H19</f>
        <v>97128.3</v>
      </c>
      <c r="I18" s="305">
        <f>I19</f>
        <v>96714.1</v>
      </c>
    </row>
    <row r="19" spans="1:9" ht="42" customHeight="1">
      <c r="A19" s="291"/>
      <c r="B19" s="304" t="s">
        <v>97</v>
      </c>
      <c r="C19" s="744" t="s">
        <v>59</v>
      </c>
      <c r="D19" s="745" t="s">
        <v>65</v>
      </c>
      <c r="E19" s="745" t="s">
        <v>57</v>
      </c>
      <c r="F19" s="746" t="s">
        <v>112</v>
      </c>
      <c r="G19" s="150" t="s">
        <v>98</v>
      </c>
      <c r="H19" s="305">
        <f>'прил13(ведом 22-23)'!M286</f>
        <v>97128.3</v>
      </c>
      <c r="I19" s="305">
        <f>'прил13(ведом 22-23)'!N286</f>
        <v>96714.1</v>
      </c>
    </row>
    <row r="20" spans="1:9" ht="117.75" customHeight="1">
      <c r="A20" s="291"/>
      <c r="B20" s="304" t="s">
        <v>323</v>
      </c>
      <c r="C20" s="744" t="s">
        <v>59</v>
      </c>
      <c r="D20" s="745" t="s">
        <v>65</v>
      </c>
      <c r="E20" s="745" t="s">
        <v>57</v>
      </c>
      <c r="F20" s="746" t="s">
        <v>324</v>
      </c>
      <c r="G20" s="150"/>
      <c r="H20" s="305">
        <f>SUM(H21:H22)</f>
        <v>8034.2</v>
      </c>
      <c r="I20" s="305">
        <f>SUM(I21:I22)</f>
        <v>8034.2</v>
      </c>
    </row>
    <row r="21" spans="1:9" ht="37.5">
      <c r="A21" s="291"/>
      <c r="B21" s="304" t="s">
        <v>75</v>
      </c>
      <c r="C21" s="744" t="s">
        <v>59</v>
      </c>
      <c r="D21" s="745" t="s">
        <v>65</v>
      </c>
      <c r="E21" s="745" t="s">
        <v>57</v>
      </c>
      <c r="F21" s="746" t="s">
        <v>324</v>
      </c>
      <c r="G21" s="150" t="s">
        <v>76</v>
      </c>
      <c r="H21" s="305">
        <f>'прил13(ведом 22-23)'!M384</f>
        <v>118.7</v>
      </c>
      <c r="I21" s="305">
        <f>'прил13(ведом 22-23)'!N384</f>
        <v>118.7</v>
      </c>
    </row>
    <row r="22" spans="1:9" ht="24" customHeight="1">
      <c r="A22" s="291"/>
      <c r="B22" s="306" t="s">
        <v>141</v>
      </c>
      <c r="C22" s="744" t="s">
        <v>59</v>
      </c>
      <c r="D22" s="745" t="s">
        <v>65</v>
      </c>
      <c r="E22" s="745" t="s">
        <v>57</v>
      </c>
      <c r="F22" s="746" t="s">
        <v>324</v>
      </c>
      <c r="G22" s="150" t="s">
        <v>142</v>
      </c>
      <c r="H22" s="305">
        <f>'прил13(ведом 22-23)'!M385</f>
        <v>7915.5</v>
      </c>
      <c r="I22" s="305">
        <f>'прил13(ведом 22-23)'!N385</f>
        <v>7915.5</v>
      </c>
    </row>
    <row r="23" spans="1:9" ht="18.75">
      <c r="A23" s="291"/>
      <c r="B23" s="304" t="s">
        <v>308</v>
      </c>
      <c r="C23" s="744" t="s">
        <v>59</v>
      </c>
      <c r="D23" s="745" t="s">
        <v>65</v>
      </c>
      <c r="E23" s="745" t="s">
        <v>57</v>
      </c>
      <c r="F23" s="746" t="s">
        <v>309</v>
      </c>
      <c r="G23" s="150"/>
      <c r="H23" s="305">
        <f>H24</f>
        <v>520.70000000000005</v>
      </c>
      <c r="I23" s="305">
        <f>I24</f>
        <v>538.79999999999995</v>
      </c>
    </row>
    <row r="24" spans="1:9" ht="42.75" customHeight="1">
      <c r="A24" s="291"/>
      <c r="B24" s="304" t="s">
        <v>97</v>
      </c>
      <c r="C24" s="744" t="s">
        <v>59</v>
      </c>
      <c r="D24" s="745" t="s">
        <v>65</v>
      </c>
      <c r="E24" s="745" t="s">
        <v>57</v>
      </c>
      <c r="F24" s="746" t="s">
        <v>309</v>
      </c>
      <c r="G24" s="150" t="s">
        <v>98</v>
      </c>
      <c r="H24" s="305">
        <f>'прил13(ведом 22-23)'!M288</f>
        <v>520.70000000000005</v>
      </c>
      <c r="I24" s="305">
        <f>'прил13(ведом 22-23)'!N288</f>
        <v>538.79999999999995</v>
      </c>
    </row>
    <row r="25" spans="1:9" ht="97.5" customHeight="1">
      <c r="A25" s="291"/>
      <c r="B25" s="304" t="s">
        <v>415</v>
      </c>
      <c r="C25" s="744" t="s">
        <v>59</v>
      </c>
      <c r="D25" s="745" t="s">
        <v>65</v>
      </c>
      <c r="E25" s="745" t="s">
        <v>57</v>
      </c>
      <c r="F25" s="746" t="s">
        <v>310</v>
      </c>
      <c r="G25" s="150"/>
      <c r="H25" s="305">
        <f>H26</f>
        <v>212697.8</v>
      </c>
      <c r="I25" s="305">
        <f>I26</f>
        <v>212697.8</v>
      </c>
    </row>
    <row r="26" spans="1:9" ht="42.75" customHeight="1">
      <c r="A26" s="291"/>
      <c r="B26" s="306" t="s">
        <v>97</v>
      </c>
      <c r="C26" s="744" t="s">
        <v>59</v>
      </c>
      <c r="D26" s="745" t="s">
        <v>65</v>
      </c>
      <c r="E26" s="745" t="s">
        <v>57</v>
      </c>
      <c r="F26" s="746" t="s">
        <v>310</v>
      </c>
      <c r="G26" s="150" t="s">
        <v>98</v>
      </c>
      <c r="H26" s="305">
        <f>'прил13(ведом 22-23)'!M290</f>
        <v>212697.8</v>
      </c>
      <c r="I26" s="305">
        <f>'прил13(ведом 22-23)'!N290</f>
        <v>212697.8</v>
      </c>
    </row>
    <row r="27" spans="1:9" ht="18.75">
      <c r="A27" s="291"/>
      <c r="B27" s="304" t="s">
        <v>312</v>
      </c>
      <c r="C27" s="744" t="s">
        <v>59</v>
      </c>
      <c r="D27" s="745" t="s">
        <v>65</v>
      </c>
      <c r="E27" s="745" t="s">
        <v>59</v>
      </c>
      <c r="F27" s="746" t="s">
        <v>64</v>
      </c>
      <c r="G27" s="150"/>
      <c r="H27" s="305">
        <f>H39+H43+H47+H28+H33+H50+H36</f>
        <v>567796.1</v>
      </c>
      <c r="I27" s="305">
        <f>I39+I43+I47+I28+I33+I50+I36</f>
        <v>561621.39999999991</v>
      </c>
    </row>
    <row r="28" spans="1:9" ht="37.5">
      <c r="A28" s="291"/>
      <c r="B28" s="304" t="s">
        <v>800</v>
      </c>
      <c r="C28" s="744" t="s">
        <v>59</v>
      </c>
      <c r="D28" s="745" t="s">
        <v>65</v>
      </c>
      <c r="E28" s="745" t="s">
        <v>59</v>
      </c>
      <c r="F28" s="746" t="s">
        <v>112</v>
      </c>
      <c r="G28" s="150"/>
      <c r="H28" s="305">
        <f>SUM(H29:H32)</f>
        <v>59981.899999999994</v>
      </c>
      <c r="I28" s="305">
        <f>SUM(I29:I32)</f>
        <v>59681.7</v>
      </c>
    </row>
    <row r="29" spans="1:9" ht="93.75">
      <c r="A29" s="291"/>
      <c r="B29" s="164" t="s">
        <v>69</v>
      </c>
      <c r="C29" s="744" t="s">
        <v>59</v>
      </c>
      <c r="D29" s="745" t="s">
        <v>65</v>
      </c>
      <c r="E29" s="745" t="s">
        <v>59</v>
      </c>
      <c r="F29" s="746" t="s">
        <v>112</v>
      </c>
      <c r="G29" s="150" t="s">
        <v>70</v>
      </c>
      <c r="H29" s="305">
        <f>'прил13(ведом 22-23)'!M301</f>
        <v>899.4</v>
      </c>
      <c r="I29" s="305">
        <f>'прил13(ведом 22-23)'!N301</f>
        <v>899.4</v>
      </c>
    </row>
    <row r="30" spans="1:9" ht="37.5">
      <c r="A30" s="291"/>
      <c r="B30" s="164" t="s">
        <v>75</v>
      </c>
      <c r="C30" s="744" t="s">
        <v>59</v>
      </c>
      <c r="D30" s="745" t="s">
        <v>65</v>
      </c>
      <c r="E30" s="745" t="s">
        <v>59</v>
      </c>
      <c r="F30" s="746" t="s">
        <v>112</v>
      </c>
      <c r="G30" s="150" t="s">
        <v>76</v>
      </c>
      <c r="H30" s="305">
        <f>'прил13(ведом 22-23)'!M302</f>
        <v>3918.2</v>
      </c>
      <c r="I30" s="305">
        <f>'прил13(ведом 22-23)'!N302</f>
        <v>3924.6</v>
      </c>
    </row>
    <row r="31" spans="1:9" ht="43.5" customHeight="1">
      <c r="A31" s="291"/>
      <c r="B31" s="304" t="s">
        <v>97</v>
      </c>
      <c r="C31" s="744" t="s">
        <v>59</v>
      </c>
      <c r="D31" s="745" t="s">
        <v>65</v>
      </c>
      <c r="E31" s="745" t="s">
        <v>59</v>
      </c>
      <c r="F31" s="746" t="s">
        <v>112</v>
      </c>
      <c r="G31" s="150" t="s">
        <v>98</v>
      </c>
      <c r="H31" s="305">
        <f>'прил13(ведом 22-23)'!M303</f>
        <v>54546.299999999996</v>
      </c>
      <c r="I31" s="305">
        <f>'прил13(ведом 22-23)'!N303</f>
        <v>54250.6</v>
      </c>
    </row>
    <row r="32" spans="1:9" ht="18.75">
      <c r="A32" s="291"/>
      <c r="B32" s="304" t="s">
        <v>77</v>
      </c>
      <c r="C32" s="744" t="s">
        <v>59</v>
      </c>
      <c r="D32" s="745" t="s">
        <v>65</v>
      </c>
      <c r="E32" s="745" t="s">
        <v>59</v>
      </c>
      <c r="F32" s="746" t="s">
        <v>112</v>
      </c>
      <c r="G32" s="150" t="s">
        <v>78</v>
      </c>
      <c r="H32" s="305">
        <f>'прил13(ведом 22-23)'!M304</f>
        <v>618</v>
      </c>
      <c r="I32" s="305">
        <f>'прил13(ведом 22-23)'!N304</f>
        <v>607.1</v>
      </c>
    </row>
    <row r="33" spans="1:9" ht="37.5">
      <c r="A33" s="291"/>
      <c r="B33" s="164" t="s">
        <v>230</v>
      </c>
      <c r="C33" s="744" t="s">
        <v>59</v>
      </c>
      <c r="D33" s="745" t="s">
        <v>65</v>
      </c>
      <c r="E33" s="745" t="s">
        <v>59</v>
      </c>
      <c r="F33" s="746" t="s">
        <v>314</v>
      </c>
      <c r="G33" s="150"/>
      <c r="H33" s="305">
        <f>H34+H35</f>
        <v>4527.3999999999996</v>
      </c>
      <c r="I33" s="305">
        <f>I34+I35</f>
        <v>0</v>
      </c>
    </row>
    <row r="34" spans="1:9" ht="37.5">
      <c r="A34" s="291"/>
      <c r="B34" s="164" t="s">
        <v>75</v>
      </c>
      <c r="C34" s="744" t="s">
        <v>59</v>
      </c>
      <c r="D34" s="745" t="s">
        <v>65</v>
      </c>
      <c r="E34" s="745" t="s">
        <v>59</v>
      </c>
      <c r="F34" s="746" t="s">
        <v>314</v>
      </c>
      <c r="G34" s="150" t="s">
        <v>76</v>
      </c>
      <c r="H34" s="305">
        <f>'прил13(ведом 22-23)'!M306</f>
        <v>178</v>
      </c>
      <c r="I34" s="305">
        <f>'прил13(ведом 22-23)'!N306</f>
        <v>0</v>
      </c>
    </row>
    <row r="35" spans="1:9" ht="37.5" customHeight="1">
      <c r="A35" s="291"/>
      <c r="B35" s="164" t="s">
        <v>97</v>
      </c>
      <c r="C35" s="744" t="s">
        <v>59</v>
      </c>
      <c r="D35" s="745" t="s">
        <v>65</v>
      </c>
      <c r="E35" s="745" t="s">
        <v>59</v>
      </c>
      <c r="F35" s="746" t="s">
        <v>314</v>
      </c>
      <c r="G35" s="150" t="s">
        <v>98</v>
      </c>
      <c r="H35" s="305">
        <f>'прил13(ведом 22-23)'!M307</f>
        <v>4349.3999999999996</v>
      </c>
      <c r="I35" s="305">
        <f>'прил13(ведом 22-23)'!N307</f>
        <v>0</v>
      </c>
    </row>
    <row r="36" spans="1:9" ht="70.5" customHeight="1">
      <c r="A36" s="291"/>
      <c r="B36" s="164" t="s">
        <v>897</v>
      </c>
      <c r="C36" s="744" t="s">
        <v>59</v>
      </c>
      <c r="D36" s="745" t="s">
        <v>65</v>
      </c>
      <c r="E36" s="745" t="s">
        <v>59</v>
      </c>
      <c r="F36" s="746" t="s">
        <v>896</v>
      </c>
      <c r="G36" s="150"/>
      <c r="H36" s="305">
        <f>H37+H38</f>
        <v>36560.199999999997</v>
      </c>
      <c r="I36" s="305">
        <f>I37+I38</f>
        <v>36560.199999999997</v>
      </c>
    </row>
    <row r="37" spans="1:9" ht="90.75" customHeight="1">
      <c r="A37" s="291"/>
      <c r="B37" s="164" t="s">
        <v>69</v>
      </c>
      <c r="C37" s="744" t="s">
        <v>59</v>
      </c>
      <c r="D37" s="745" t="s">
        <v>65</v>
      </c>
      <c r="E37" s="745" t="s">
        <v>59</v>
      </c>
      <c r="F37" s="746" t="s">
        <v>896</v>
      </c>
      <c r="G37" s="150" t="s">
        <v>70</v>
      </c>
      <c r="H37" s="305">
        <f>'прил13(ведом 22-23)'!M309</f>
        <v>2968.6</v>
      </c>
      <c r="I37" s="305">
        <f>'прил13(ведом 22-23)'!N309</f>
        <v>2968.6</v>
      </c>
    </row>
    <row r="38" spans="1:9" ht="36" customHeight="1">
      <c r="A38" s="291"/>
      <c r="B38" s="164" t="s">
        <v>97</v>
      </c>
      <c r="C38" s="744" t="s">
        <v>59</v>
      </c>
      <c r="D38" s="745" t="s">
        <v>65</v>
      </c>
      <c r="E38" s="745" t="s">
        <v>59</v>
      </c>
      <c r="F38" s="746" t="s">
        <v>896</v>
      </c>
      <c r="G38" s="150" t="s">
        <v>98</v>
      </c>
      <c r="H38" s="305">
        <f>'прил13(ведом 22-23)'!M310</f>
        <v>33591.599999999999</v>
      </c>
      <c r="I38" s="305">
        <f>'прил13(ведом 22-23)'!N310</f>
        <v>33591.599999999999</v>
      </c>
    </row>
    <row r="39" spans="1:9" ht="18.75">
      <c r="A39" s="291"/>
      <c r="B39" s="304" t="s">
        <v>308</v>
      </c>
      <c r="C39" s="744" t="s">
        <v>59</v>
      </c>
      <c r="D39" s="745" t="s">
        <v>65</v>
      </c>
      <c r="E39" s="745" t="s">
        <v>59</v>
      </c>
      <c r="F39" s="746" t="s">
        <v>309</v>
      </c>
      <c r="G39" s="150"/>
      <c r="H39" s="305">
        <f>SUM(H40:H42)</f>
        <v>1632.2</v>
      </c>
      <c r="I39" s="305">
        <f>SUM(I40:I42)</f>
        <v>1689.1000000000001</v>
      </c>
    </row>
    <row r="40" spans="1:9" ht="93.75">
      <c r="A40" s="291"/>
      <c r="B40" s="164" t="s">
        <v>69</v>
      </c>
      <c r="C40" s="744" t="s">
        <v>59</v>
      </c>
      <c r="D40" s="745" t="s">
        <v>65</v>
      </c>
      <c r="E40" s="745" t="s">
        <v>59</v>
      </c>
      <c r="F40" s="746" t="s">
        <v>309</v>
      </c>
      <c r="G40" s="150" t="s">
        <v>70</v>
      </c>
      <c r="H40" s="305">
        <f>'прил13(ведом 22-23)'!M312</f>
        <v>115.8</v>
      </c>
      <c r="I40" s="305">
        <f>'прил13(ведом 22-23)'!N312</f>
        <v>115.8</v>
      </c>
    </row>
    <row r="41" spans="1:9" ht="26.25" customHeight="1">
      <c r="A41" s="291"/>
      <c r="B41" s="164" t="s">
        <v>141</v>
      </c>
      <c r="C41" s="744" t="s">
        <v>59</v>
      </c>
      <c r="D41" s="745" t="s">
        <v>65</v>
      </c>
      <c r="E41" s="745" t="s">
        <v>59</v>
      </c>
      <c r="F41" s="746" t="s">
        <v>309</v>
      </c>
      <c r="G41" s="150" t="s">
        <v>142</v>
      </c>
      <c r="H41" s="305">
        <f>'прил13(ведом 22-23)'!M313</f>
        <v>13.9</v>
      </c>
      <c r="I41" s="305">
        <f>'прил13(ведом 22-23)'!N313</f>
        <v>13.9</v>
      </c>
    </row>
    <row r="42" spans="1:9" ht="39" customHeight="1">
      <c r="A42" s="291"/>
      <c r="B42" s="304" t="s">
        <v>97</v>
      </c>
      <c r="C42" s="744" t="s">
        <v>59</v>
      </c>
      <c r="D42" s="745" t="s">
        <v>65</v>
      </c>
      <c r="E42" s="745" t="s">
        <v>59</v>
      </c>
      <c r="F42" s="746" t="s">
        <v>309</v>
      </c>
      <c r="G42" s="150" t="s">
        <v>98</v>
      </c>
      <c r="H42" s="305">
        <f>'прил13(ведом 22-23)'!M314</f>
        <v>1502.5</v>
      </c>
      <c r="I42" s="305">
        <f>'прил13(ведом 22-23)'!N314</f>
        <v>1559.4</v>
      </c>
    </row>
    <row r="43" spans="1:9" ht="93" customHeight="1">
      <c r="A43" s="291"/>
      <c r="B43" s="304" t="s">
        <v>415</v>
      </c>
      <c r="C43" s="744" t="s">
        <v>59</v>
      </c>
      <c r="D43" s="745" t="s">
        <v>65</v>
      </c>
      <c r="E43" s="745" t="s">
        <v>59</v>
      </c>
      <c r="F43" s="746" t="s">
        <v>310</v>
      </c>
      <c r="G43" s="150"/>
      <c r="H43" s="305">
        <f>SUM(H44:H46)</f>
        <v>404790.7</v>
      </c>
      <c r="I43" s="305">
        <f>SUM(I44:I46)</f>
        <v>404790.7</v>
      </c>
    </row>
    <row r="44" spans="1:9" ht="93.75">
      <c r="A44" s="291"/>
      <c r="B44" s="304" t="s">
        <v>69</v>
      </c>
      <c r="C44" s="744" t="s">
        <v>59</v>
      </c>
      <c r="D44" s="745" t="s">
        <v>65</v>
      </c>
      <c r="E44" s="745" t="s">
        <v>59</v>
      </c>
      <c r="F44" s="746" t="s">
        <v>310</v>
      </c>
      <c r="G44" s="150" t="s">
        <v>70</v>
      </c>
      <c r="H44" s="305">
        <f>'прил13(ведом 22-23)'!M316</f>
        <v>27962</v>
      </c>
      <c r="I44" s="305">
        <f>'прил13(ведом 22-23)'!N316</f>
        <v>27962</v>
      </c>
    </row>
    <row r="45" spans="1:9" ht="37.5">
      <c r="A45" s="291"/>
      <c r="B45" s="304" t="s">
        <v>75</v>
      </c>
      <c r="C45" s="744" t="s">
        <v>59</v>
      </c>
      <c r="D45" s="745" t="s">
        <v>65</v>
      </c>
      <c r="E45" s="745" t="s">
        <v>59</v>
      </c>
      <c r="F45" s="746" t="s">
        <v>310</v>
      </c>
      <c r="G45" s="150" t="s">
        <v>76</v>
      </c>
      <c r="H45" s="305">
        <f>'прил13(ведом 22-23)'!M317</f>
        <v>1898.4</v>
      </c>
      <c r="I45" s="305">
        <f>'прил13(ведом 22-23)'!N317</f>
        <v>1898.4</v>
      </c>
    </row>
    <row r="46" spans="1:9" ht="43.5" customHeight="1">
      <c r="A46" s="291"/>
      <c r="B46" s="304" t="s">
        <v>97</v>
      </c>
      <c r="C46" s="744" t="s">
        <v>59</v>
      </c>
      <c r="D46" s="745" t="s">
        <v>65</v>
      </c>
      <c r="E46" s="745" t="s">
        <v>59</v>
      </c>
      <c r="F46" s="746" t="s">
        <v>310</v>
      </c>
      <c r="G46" s="150" t="s">
        <v>98</v>
      </c>
      <c r="H46" s="305">
        <f>'прил13(ведом 22-23)'!M318</f>
        <v>374930.3</v>
      </c>
      <c r="I46" s="305">
        <f>'прил13(ведом 22-23)'!N318</f>
        <v>374930.3</v>
      </c>
    </row>
    <row r="47" spans="1:9" ht="78" customHeight="1">
      <c r="A47" s="291"/>
      <c r="B47" s="304" t="s">
        <v>231</v>
      </c>
      <c r="C47" s="739" t="s">
        <v>59</v>
      </c>
      <c r="D47" s="739" t="s">
        <v>65</v>
      </c>
      <c r="E47" s="739" t="s">
        <v>59</v>
      </c>
      <c r="F47" s="740" t="s">
        <v>315</v>
      </c>
      <c r="G47" s="289"/>
      <c r="H47" s="305">
        <f>SUM(H48:H49)</f>
        <v>2399</v>
      </c>
      <c r="I47" s="305">
        <f>SUM(I48:I49)</f>
        <v>2399</v>
      </c>
    </row>
    <row r="48" spans="1:9" ht="37.5">
      <c r="A48" s="291"/>
      <c r="B48" s="164" t="s">
        <v>75</v>
      </c>
      <c r="C48" s="744" t="s">
        <v>59</v>
      </c>
      <c r="D48" s="745" t="s">
        <v>65</v>
      </c>
      <c r="E48" s="745" t="s">
        <v>59</v>
      </c>
      <c r="F48" s="746" t="s">
        <v>315</v>
      </c>
      <c r="G48" s="150" t="s">
        <v>76</v>
      </c>
      <c r="H48" s="305">
        <f>'прил13(ведом 22-23)'!M320</f>
        <v>104.8</v>
      </c>
      <c r="I48" s="305">
        <f>'прил13(ведом 22-23)'!N320</f>
        <v>104.8</v>
      </c>
    </row>
    <row r="49" spans="1:9" ht="45.75" customHeight="1">
      <c r="A49" s="291"/>
      <c r="B49" s="304" t="s">
        <v>97</v>
      </c>
      <c r="C49" s="739" t="s">
        <v>59</v>
      </c>
      <c r="D49" s="739" t="s">
        <v>65</v>
      </c>
      <c r="E49" s="739" t="s">
        <v>59</v>
      </c>
      <c r="F49" s="740" t="s">
        <v>315</v>
      </c>
      <c r="G49" s="289" t="s">
        <v>98</v>
      </c>
      <c r="H49" s="305">
        <f>'прил13(ведом 22-23)'!M321</f>
        <v>2294.1999999999998</v>
      </c>
      <c r="I49" s="305">
        <f>'прил13(ведом 22-23)'!N321</f>
        <v>2294.1999999999998</v>
      </c>
    </row>
    <row r="50" spans="1:9" ht="72.75" customHeight="1">
      <c r="A50" s="291"/>
      <c r="B50" s="164" t="s">
        <v>768</v>
      </c>
      <c r="C50" s="744" t="s">
        <v>59</v>
      </c>
      <c r="D50" s="745" t="s">
        <v>65</v>
      </c>
      <c r="E50" s="745" t="s">
        <v>59</v>
      </c>
      <c r="F50" s="746" t="s">
        <v>767</v>
      </c>
      <c r="G50" s="150"/>
      <c r="H50" s="305">
        <f>H51+H52</f>
        <v>57904.700000000004</v>
      </c>
      <c r="I50" s="305">
        <f>I51+I52</f>
        <v>56500.7</v>
      </c>
    </row>
    <row r="51" spans="1:9" ht="33.75" customHeight="1">
      <c r="A51" s="291"/>
      <c r="B51" s="164" t="s">
        <v>75</v>
      </c>
      <c r="C51" s="744" t="s">
        <v>59</v>
      </c>
      <c r="D51" s="745" t="s">
        <v>65</v>
      </c>
      <c r="E51" s="745" t="s">
        <v>59</v>
      </c>
      <c r="F51" s="746" t="s">
        <v>767</v>
      </c>
      <c r="G51" s="150" t="s">
        <v>76</v>
      </c>
      <c r="H51" s="305">
        <f>'прил13(ведом 22-23)'!M323</f>
        <v>1715.9</v>
      </c>
      <c r="I51" s="305">
        <f>'прил13(ведом 22-23)'!N323</f>
        <v>1674.2</v>
      </c>
    </row>
    <row r="52" spans="1:9" ht="35.25" customHeight="1">
      <c r="A52" s="291"/>
      <c r="B52" s="164" t="s">
        <v>97</v>
      </c>
      <c r="C52" s="744" t="s">
        <v>59</v>
      </c>
      <c r="D52" s="745" t="s">
        <v>65</v>
      </c>
      <c r="E52" s="745" t="s">
        <v>59</v>
      </c>
      <c r="F52" s="746" t="s">
        <v>767</v>
      </c>
      <c r="G52" s="150" t="s">
        <v>98</v>
      </c>
      <c r="H52" s="305">
        <f>'прил13(ведом 22-23)'!M324</f>
        <v>56188.800000000003</v>
      </c>
      <c r="I52" s="305">
        <f>'прил13(ведом 22-23)'!N324</f>
        <v>54826.5</v>
      </c>
    </row>
    <row r="53" spans="1:9" ht="18.75">
      <c r="A53" s="291"/>
      <c r="B53" s="304" t="s">
        <v>232</v>
      </c>
      <c r="C53" s="744" t="s">
        <v>59</v>
      </c>
      <c r="D53" s="745" t="s">
        <v>110</v>
      </c>
      <c r="E53" s="745" t="s">
        <v>63</v>
      </c>
      <c r="F53" s="746" t="s">
        <v>64</v>
      </c>
      <c r="G53" s="289"/>
      <c r="H53" s="305">
        <f>H54</f>
        <v>55983.000000000007</v>
      </c>
      <c r="I53" s="305">
        <f>I54</f>
        <v>56047.000000000007</v>
      </c>
    </row>
    <row r="54" spans="1:9" ht="37.5">
      <c r="A54" s="291"/>
      <c r="B54" s="304" t="s">
        <v>316</v>
      </c>
      <c r="C54" s="744" t="s">
        <v>59</v>
      </c>
      <c r="D54" s="745" t="s">
        <v>110</v>
      </c>
      <c r="E54" s="745" t="s">
        <v>57</v>
      </c>
      <c r="F54" s="746" t="s">
        <v>64</v>
      </c>
      <c r="G54" s="289"/>
      <c r="H54" s="305">
        <f>H55+H62+H60+H64</f>
        <v>55983.000000000007</v>
      </c>
      <c r="I54" s="305">
        <f>I55+I62+I60+I64</f>
        <v>56047.000000000007</v>
      </c>
    </row>
    <row r="55" spans="1:9" ht="37.5">
      <c r="A55" s="291"/>
      <c r="B55" s="304" t="s">
        <v>800</v>
      </c>
      <c r="C55" s="744" t="s">
        <v>59</v>
      </c>
      <c r="D55" s="745" t="s">
        <v>110</v>
      </c>
      <c r="E55" s="745" t="s">
        <v>57</v>
      </c>
      <c r="F55" s="746" t="s">
        <v>112</v>
      </c>
      <c r="G55" s="150"/>
      <c r="H55" s="305">
        <f>SUM(H56:H59)</f>
        <v>47871.700000000004</v>
      </c>
      <c r="I55" s="305">
        <f>SUM(I56:I59)</f>
        <v>47931.8</v>
      </c>
    </row>
    <row r="56" spans="1:9" ht="93.75">
      <c r="A56" s="291"/>
      <c r="B56" s="164" t="s">
        <v>69</v>
      </c>
      <c r="C56" s="744" t="s">
        <v>59</v>
      </c>
      <c r="D56" s="745" t="s">
        <v>110</v>
      </c>
      <c r="E56" s="745" t="s">
        <v>57</v>
      </c>
      <c r="F56" s="746" t="s">
        <v>112</v>
      </c>
      <c r="G56" s="150" t="s">
        <v>70</v>
      </c>
      <c r="H56" s="305">
        <f>'прил13(ведом 22-23)'!M341</f>
        <v>18629</v>
      </c>
      <c r="I56" s="305">
        <f>'прил13(ведом 22-23)'!N341</f>
        <v>18629</v>
      </c>
    </row>
    <row r="57" spans="1:9" ht="37.5">
      <c r="A57" s="291"/>
      <c r="B57" s="164" t="s">
        <v>75</v>
      </c>
      <c r="C57" s="744" t="s">
        <v>59</v>
      </c>
      <c r="D57" s="745" t="s">
        <v>110</v>
      </c>
      <c r="E57" s="745" t="s">
        <v>57</v>
      </c>
      <c r="F57" s="746" t="s">
        <v>112</v>
      </c>
      <c r="G57" s="150" t="s">
        <v>76</v>
      </c>
      <c r="H57" s="305">
        <f>'прил13(ведом 22-23)'!M342</f>
        <v>1135.98695</v>
      </c>
      <c r="I57" s="305">
        <f>'прил13(ведом 22-23)'!N342</f>
        <v>1167.7563600000001</v>
      </c>
    </row>
    <row r="58" spans="1:9" ht="46.5" customHeight="1">
      <c r="A58" s="291"/>
      <c r="B58" s="304" t="s">
        <v>97</v>
      </c>
      <c r="C58" s="744" t="s">
        <v>59</v>
      </c>
      <c r="D58" s="745" t="s">
        <v>110</v>
      </c>
      <c r="E58" s="745" t="s">
        <v>57</v>
      </c>
      <c r="F58" s="746" t="s">
        <v>112</v>
      </c>
      <c r="G58" s="150" t="s">
        <v>98</v>
      </c>
      <c r="H58" s="305">
        <f>'прил13(ведом 22-23)'!M343</f>
        <v>28055.716050000003</v>
      </c>
      <c r="I58" s="305">
        <f>'прил13(ведом 22-23)'!N343</f>
        <v>28084.393640000002</v>
      </c>
    </row>
    <row r="59" spans="1:9" ht="18.75">
      <c r="A59" s="291"/>
      <c r="B59" s="164" t="s">
        <v>77</v>
      </c>
      <c r="C59" s="744" t="s">
        <v>59</v>
      </c>
      <c r="D59" s="745" t="s">
        <v>110</v>
      </c>
      <c r="E59" s="745" t="s">
        <v>57</v>
      </c>
      <c r="F59" s="746" t="s">
        <v>112</v>
      </c>
      <c r="G59" s="150" t="s">
        <v>78</v>
      </c>
      <c r="H59" s="305">
        <f>'прил13(ведом 22-23)'!M344</f>
        <v>50.997</v>
      </c>
      <c r="I59" s="305">
        <f>'прил13(ведом 22-23)'!N344</f>
        <v>50.65</v>
      </c>
    </row>
    <row r="60" spans="1:9" ht="165" customHeight="1">
      <c r="A60" s="291"/>
      <c r="B60" s="164" t="s">
        <v>696</v>
      </c>
      <c r="C60" s="744" t="s">
        <v>59</v>
      </c>
      <c r="D60" s="745" t="s">
        <v>110</v>
      </c>
      <c r="E60" s="745" t="s">
        <v>57</v>
      </c>
      <c r="F60" s="746" t="s">
        <v>538</v>
      </c>
      <c r="G60" s="150"/>
      <c r="H60" s="305">
        <f>H61</f>
        <v>125</v>
      </c>
      <c r="I60" s="305">
        <f>I61</f>
        <v>125</v>
      </c>
    </row>
    <row r="61" spans="1:9" ht="93.75">
      <c r="A61" s="291"/>
      <c r="B61" s="164" t="s">
        <v>69</v>
      </c>
      <c r="C61" s="744" t="s">
        <v>59</v>
      </c>
      <c r="D61" s="745" t="s">
        <v>110</v>
      </c>
      <c r="E61" s="745" t="s">
        <v>57</v>
      </c>
      <c r="F61" s="746" t="s">
        <v>538</v>
      </c>
      <c r="G61" s="150" t="s">
        <v>70</v>
      </c>
      <c r="H61" s="305">
        <f>'прил13(ведом 22-23)'!M346</f>
        <v>125</v>
      </c>
      <c r="I61" s="305">
        <f>'прил13(ведом 22-23)'!N346</f>
        <v>125</v>
      </c>
    </row>
    <row r="62" spans="1:9" ht="162" customHeight="1">
      <c r="A62" s="291"/>
      <c r="B62" s="304" t="s">
        <v>308</v>
      </c>
      <c r="C62" s="744" t="s">
        <v>59</v>
      </c>
      <c r="D62" s="745" t="s">
        <v>110</v>
      </c>
      <c r="E62" s="745" t="s">
        <v>57</v>
      </c>
      <c r="F62" s="746" t="s">
        <v>309</v>
      </c>
      <c r="G62" s="150"/>
      <c r="H62" s="305">
        <f>H63</f>
        <v>110.9</v>
      </c>
      <c r="I62" s="305">
        <f>I63</f>
        <v>114.8</v>
      </c>
    </row>
    <row r="63" spans="1:9" ht="56.25">
      <c r="A63" s="291"/>
      <c r="B63" s="164" t="s">
        <v>97</v>
      </c>
      <c r="C63" s="744" t="s">
        <v>59</v>
      </c>
      <c r="D63" s="745" t="s">
        <v>110</v>
      </c>
      <c r="E63" s="745" t="s">
        <v>57</v>
      </c>
      <c r="F63" s="746" t="s">
        <v>309</v>
      </c>
      <c r="G63" s="150" t="s">
        <v>98</v>
      </c>
      <c r="H63" s="305">
        <f>'прил13(ведом 22-23)'!M348</f>
        <v>110.9</v>
      </c>
      <c r="I63" s="305">
        <f>'прил13(ведом 22-23)'!N348</f>
        <v>114.8</v>
      </c>
    </row>
    <row r="64" spans="1:9" ht="96.75" customHeight="1">
      <c r="A64" s="291"/>
      <c r="B64" s="164" t="s">
        <v>415</v>
      </c>
      <c r="C64" s="744" t="s">
        <v>59</v>
      </c>
      <c r="D64" s="745" t="s">
        <v>110</v>
      </c>
      <c r="E64" s="745" t="s">
        <v>57</v>
      </c>
      <c r="F64" s="746" t="s">
        <v>310</v>
      </c>
      <c r="G64" s="150"/>
      <c r="H64" s="305">
        <f>H65</f>
        <v>7875.4</v>
      </c>
      <c r="I64" s="305">
        <f>I65</f>
        <v>7875.4</v>
      </c>
    </row>
    <row r="65" spans="1:9" ht="45" customHeight="1">
      <c r="A65" s="291"/>
      <c r="B65" s="164" t="s">
        <v>97</v>
      </c>
      <c r="C65" s="744" t="s">
        <v>59</v>
      </c>
      <c r="D65" s="745" t="s">
        <v>110</v>
      </c>
      <c r="E65" s="745" t="s">
        <v>57</v>
      </c>
      <c r="F65" s="746" t="s">
        <v>310</v>
      </c>
      <c r="G65" s="150" t="s">
        <v>98</v>
      </c>
      <c r="H65" s="305">
        <f>'прил13(ведом 22-23)'!M350</f>
        <v>7875.4</v>
      </c>
      <c r="I65" s="305">
        <f>'прил13(ведом 22-23)'!N350</f>
        <v>7875.4</v>
      </c>
    </row>
    <row r="66" spans="1:9" ht="42" customHeight="1">
      <c r="A66" s="291"/>
      <c r="B66" s="304" t="s">
        <v>234</v>
      </c>
      <c r="C66" s="744" t="s">
        <v>59</v>
      </c>
      <c r="D66" s="745" t="s">
        <v>50</v>
      </c>
      <c r="E66" s="745" t="s">
        <v>63</v>
      </c>
      <c r="F66" s="746" t="s">
        <v>64</v>
      </c>
      <c r="G66" s="289"/>
      <c r="H66" s="305">
        <f>H67+H83+H86+H89+H92</f>
        <v>71386.899999999994</v>
      </c>
      <c r="I66" s="305">
        <f>I67+I83+I86+I89+I92</f>
        <v>71420.899999999994</v>
      </c>
    </row>
    <row r="67" spans="1:9" ht="37.5">
      <c r="A67" s="291"/>
      <c r="B67" s="304" t="s">
        <v>322</v>
      </c>
      <c r="C67" s="744" t="s">
        <v>59</v>
      </c>
      <c r="D67" s="745" t="s">
        <v>50</v>
      </c>
      <c r="E67" s="745" t="s">
        <v>57</v>
      </c>
      <c r="F67" s="746" t="s">
        <v>64</v>
      </c>
      <c r="G67" s="289"/>
      <c r="H67" s="305">
        <f>H68+H72+H80+H77</f>
        <v>64408.200000000004</v>
      </c>
      <c r="I67" s="305">
        <f>I68+I72+I80+I77</f>
        <v>64442.200000000004</v>
      </c>
    </row>
    <row r="68" spans="1:9" ht="37.5">
      <c r="A68" s="291"/>
      <c r="B68" s="304" t="s">
        <v>67</v>
      </c>
      <c r="C68" s="744" t="s">
        <v>59</v>
      </c>
      <c r="D68" s="745" t="s">
        <v>50</v>
      </c>
      <c r="E68" s="745" t="s">
        <v>57</v>
      </c>
      <c r="F68" s="746" t="s">
        <v>68</v>
      </c>
      <c r="G68" s="150"/>
      <c r="H68" s="305">
        <f>SUM(H69:H71)</f>
        <v>10391.199999999999</v>
      </c>
      <c r="I68" s="305">
        <f>SUM(I69:I71)</f>
        <v>10396.800000000001</v>
      </c>
    </row>
    <row r="69" spans="1:9" ht="93.75">
      <c r="A69" s="291"/>
      <c r="B69" s="304" t="s">
        <v>69</v>
      </c>
      <c r="C69" s="744" t="s">
        <v>59</v>
      </c>
      <c r="D69" s="745" t="s">
        <v>50</v>
      </c>
      <c r="E69" s="745" t="s">
        <v>57</v>
      </c>
      <c r="F69" s="746" t="s">
        <v>68</v>
      </c>
      <c r="G69" s="150" t="s">
        <v>70</v>
      </c>
      <c r="H69" s="305">
        <f>'прил13(ведом 22-23)'!M367</f>
        <v>9265.9</v>
      </c>
      <c r="I69" s="305">
        <f>'прил13(ведом 22-23)'!N367</f>
        <v>9265.9</v>
      </c>
    </row>
    <row r="70" spans="1:9" ht="37.5">
      <c r="A70" s="291"/>
      <c r="B70" s="304" t="s">
        <v>75</v>
      </c>
      <c r="C70" s="744" t="s">
        <v>59</v>
      </c>
      <c r="D70" s="745" t="s">
        <v>50</v>
      </c>
      <c r="E70" s="745" t="s">
        <v>57</v>
      </c>
      <c r="F70" s="746" t="s">
        <v>68</v>
      </c>
      <c r="G70" s="150" t="s">
        <v>76</v>
      </c>
      <c r="H70" s="305">
        <f>'прил13(ведом 22-23)'!M368</f>
        <v>1110.5</v>
      </c>
      <c r="I70" s="305">
        <f>'прил13(ведом 22-23)'!N368</f>
        <v>1116.2</v>
      </c>
    </row>
    <row r="71" spans="1:9" ht="18.75">
      <c r="A71" s="291"/>
      <c r="B71" s="304" t="s">
        <v>77</v>
      </c>
      <c r="C71" s="744" t="s">
        <v>59</v>
      </c>
      <c r="D71" s="745" t="s">
        <v>50</v>
      </c>
      <c r="E71" s="745" t="s">
        <v>57</v>
      </c>
      <c r="F71" s="746" t="s">
        <v>68</v>
      </c>
      <c r="G71" s="150" t="s">
        <v>78</v>
      </c>
      <c r="H71" s="305">
        <f>'прил13(ведом 22-23)'!M369</f>
        <v>14.8</v>
      </c>
      <c r="I71" s="305">
        <f>'прил13(ведом 22-23)'!N369</f>
        <v>14.7</v>
      </c>
    </row>
    <row r="72" spans="1:9" ht="37.5">
      <c r="A72" s="291"/>
      <c r="B72" s="304" t="s">
        <v>800</v>
      </c>
      <c r="C72" s="744" t="s">
        <v>59</v>
      </c>
      <c r="D72" s="745" t="s">
        <v>50</v>
      </c>
      <c r="E72" s="745" t="s">
        <v>57</v>
      </c>
      <c r="F72" s="746" t="s">
        <v>112</v>
      </c>
      <c r="G72" s="150"/>
      <c r="H72" s="305">
        <f>SUM(H73:H76)</f>
        <v>45469.100000000006</v>
      </c>
      <c r="I72" s="305">
        <f>SUM(I73:I76)</f>
        <v>45497.5</v>
      </c>
    </row>
    <row r="73" spans="1:9" ht="93.75">
      <c r="A73" s="291"/>
      <c r="B73" s="304" t="s">
        <v>69</v>
      </c>
      <c r="C73" s="744" t="s">
        <v>59</v>
      </c>
      <c r="D73" s="745" t="s">
        <v>50</v>
      </c>
      <c r="E73" s="745" t="s">
        <v>57</v>
      </c>
      <c r="F73" s="746" t="s">
        <v>112</v>
      </c>
      <c r="G73" s="150" t="s">
        <v>70</v>
      </c>
      <c r="H73" s="305">
        <f>'прил13(ведом 22-23)'!M371</f>
        <v>26953.7</v>
      </c>
      <c r="I73" s="305">
        <f>'прил13(ведом 22-23)'!N371</f>
        <v>26953.7</v>
      </c>
    </row>
    <row r="74" spans="1:9" ht="37.5">
      <c r="A74" s="291"/>
      <c r="B74" s="304" t="s">
        <v>75</v>
      </c>
      <c r="C74" s="744" t="s">
        <v>59</v>
      </c>
      <c r="D74" s="745" t="s">
        <v>50</v>
      </c>
      <c r="E74" s="745" t="s">
        <v>57</v>
      </c>
      <c r="F74" s="746" t="s">
        <v>112</v>
      </c>
      <c r="G74" s="150" t="s">
        <v>76</v>
      </c>
      <c r="H74" s="305">
        <f>'прил13(ведом 22-23)'!M372</f>
        <v>2453.8000000000002</v>
      </c>
      <c r="I74" s="305">
        <f>'прил13(ведом 22-23)'!N372</f>
        <v>2482.5</v>
      </c>
    </row>
    <row r="75" spans="1:9" ht="45.75" customHeight="1">
      <c r="A75" s="291"/>
      <c r="B75" s="164" t="s">
        <v>97</v>
      </c>
      <c r="C75" s="744" t="s">
        <v>59</v>
      </c>
      <c r="D75" s="745" t="s">
        <v>50</v>
      </c>
      <c r="E75" s="745" t="s">
        <v>57</v>
      </c>
      <c r="F75" s="746" t="s">
        <v>112</v>
      </c>
      <c r="G75" s="150" t="s">
        <v>98</v>
      </c>
      <c r="H75" s="305">
        <f>'прил13(ведом 22-23)'!M373</f>
        <v>16053.8</v>
      </c>
      <c r="I75" s="305">
        <f>'прил13(ведом 22-23)'!N373</f>
        <v>16053.8</v>
      </c>
    </row>
    <row r="76" spans="1:9" ht="18.75">
      <c r="A76" s="291"/>
      <c r="B76" s="164" t="s">
        <v>77</v>
      </c>
      <c r="C76" s="744" t="s">
        <v>59</v>
      </c>
      <c r="D76" s="745" t="s">
        <v>50</v>
      </c>
      <c r="E76" s="745" t="s">
        <v>57</v>
      </c>
      <c r="F76" s="746" t="s">
        <v>112</v>
      </c>
      <c r="G76" s="150" t="s">
        <v>78</v>
      </c>
      <c r="H76" s="305">
        <f>'прил13(ведом 22-23)'!M374</f>
        <v>7.8</v>
      </c>
      <c r="I76" s="305">
        <f>'прил13(ведом 22-23)'!N374</f>
        <v>7.5</v>
      </c>
    </row>
    <row r="77" spans="1:9" ht="97.5" customHeight="1">
      <c r="A77" s="291"/>
      <c r="B77" s="164" t="s">
        <v>415</v>
      </c>
      <c r="C77" s="744" t="s">
        <v>59</v>
      </c>
      <c r="D77" s="745" t="s">
        <v>50</v>
      </c>
      <c r="E77" s="745" t="s">
        <v>57</v>
      </c>
      <c r="F77" s="746" t="s">
        <v>310</v>
      </c>
      <c r="G77" s="150"/>
      <c r="H77" s="305">
        <f>SUM(H78:H79)</f>
        <v>6189.9</v>
      </c>
      <c r="I77" s="305">
        <f>SUM(I78:I79)</f>
        <v>6189.9</v>
      </c>
    </row>
    <row r="78" spans="1:9" ht="93.75">
      <c r="A78" s="291"/>
      <c r="B78" s="164" t="s">
        <v>69</v>
      </c>
      <c r="C78" s="744" t="s">
        <v>59</v>
      </c>
      <c r="D78" s="745" t="s">
        <v>50</v>
      </c>
      <c r="E78" s="745" t="s">
        <v>57</v>
      </c>
      <c r="F78" s="746" t="s">
        <v>310</v>
      </c>
      <c r="G78" s="150" t="s">
        <v>70</v>
      </c>
      <c r="H78" s="305">
        <f>'прил13(ведом 22-23)'!M376</f>
        <v>5863.4</v>
      </c>
      <c r="I78" s="305">
        <f>'прил13(ведом 22-23)'!N376</f>
        <v>5863.4</v>
      </c>
    </row>
    <row r="79" spans="1:9" ht="37.5">
      <c r="A79" s="291"/>
      <c r="B79" s="304" t="s">
        <v>75</v>
      </c>
      <c r="C79" s="744" t="s">
        <v>59</v>
      </c>
      <c r="D79" s="745" t="s">
        <v>50</v>
      </c>
      <c r="E79" s="745" t="s">
        <v>57</v>
      </c>
      <c r="F79" s="746" t="s">
        <v>310</v>
      </c>
      <c r="G79" s="150" t="s">
        <v>76</v>
      </c>
      <c r="H79" s="305">
        <f>'прил13(ведом 22-23)'!M377</f>
        <v>326.5</v>
      </c>
      <c r="I79" s="305">
        <f>'прил13(ведом 22-23)'!N377</f>
        <v>326.5</v>
      </c>
    </row>
    <row r="80" spans="1:9" ht="214.5" customHeight="1">
      <c r="A80" s="291"/>
      <c r="B80" s="164" t="s">
        <v>695</v>
      </c>
      <c r="C80" s="744" t="s">
        <v>59</v>
      </c>
      <c r="D80" s="745" t="s">
        <v>50</v>
      </c>
      <c r="E80" s="745" t="s">
        <v>57</v>
      </c>
      <c r="F80" s="746" t="s">
        <v>416</v>
      </c>
      <c r="G80" s="150"/>
      <c r="H80" s="305">
        <f>SUM(H81:H82)</f>
        <v>2358</v>
      </c>
      <c r="I80" s="305">
        <f>SUM(I81:I82)</f>
        <v>2358</v>
      </c>
    </row>
    <row r="81" spans="1:9" ht="93.75">
      <c r="A81" s="291"/>
      <c r="B81" s="164" t="s">
        <v>69</v>
      </c>
      <c r="C81" s="744" t="s">
        <v>59</v>
      </c>
      <c r="D81" s="745" t="s">
        <v>50</v>
      </c>
      <c r="E81" s="745" t="s">
        <v>57</v>
      </c>
      <c r="F81" s="746" t="s">
        <v>416</v>
      </c>
      <c r="G81" s="150" t="s">
        <v>70</v>
      </c>
      <c r="H81" s="305">
        <f>'прил13(ведом 22-23)'!M328</f>
        <v>29.8</v>
      </c>
      <c r="I81" s="305">
        <f>'прил13(ведом 22-23)'!N328</f>
        <v>29.8</v>
      </c>
    </row>
    <row r="82" spans="1:9" ht="45" customHeight="1">
      <c r="A82" s="291"/>
      <c r="B82" s="164" t="s">
        <v>97</v>
      </c>
      <c r="C82" s="744" t="s">
        <v>59</v>
      </c>
      <c r="D82" s="745" t="s">
        <v>50</v>
      </c>
      <c r="E82" s="745" t="s">
        <v>57</v>
      </c>
      <c r="F82" s="746" t="s">
        <v>416</v>
      </c>
      <c r="G82" s="150" t="s">
        <v>98</v>
      </c>
      <c r="H82" s="305">
        <f>'прил13(ведом 22-23)'!M329</f>
        <v>2328.1999999999998</v>
      </c>
      <c r="I82" s="305">
        <f>'прил13(ведом 22-23)'!N329</f>
        <v>2328.1999999999998</v>
      </c>
    </row>
    <row r="83" spans="1:9" ht="45" customHeight="1">
      <c r="A83" s="291"/>
      <c r="B83" s="164" t="s">
        <v>321</v>
      </c>
      <c r="C83" s="744" t="s">
        <v>59</v>
      </c>
      <c r="D83" s="745" t="s">
        <v>50</v>
      </c>
      <c r="E83" s="745" t="s">
        <v>59</v>
      </c>
      <c r="F83" s="746" t="s">
        <v>64</v>
      </c>
      <c r="G83" s="150"/>
      <c r="H83" s="305">
        <f>H84</f>
        <v>6749.9</v>
      </c>
      <c r="I83" s="305">
        <f>I84</f>
        <v>6749.9</v>
      </c>
    </row>
    <row r="84" spans="1:9" ht="109.5" customHeight="1">
      <c r="A84" s="291"/>
      <c r="B84" s="164" t="s">
        <v>737</v>
      </c>
      <c r="C84" s="744" t="s">
        <v>59</v>
      </c>
      <c r="D84" s="745" t="s">
        <v>50</v>
      </c>
      <c r="E84" s="745" t="s">
        <v>59</v>
      </c>
      <c r="F84" s="746" t="s">
        <v>736</v>
      </c>
      <c r="G84" s="150"/>
      <c r="H84" s="305">
        <f>H85</f>
        <v>6749.9</v>
      </c>
      <c r="I84" s="305">
        <f>I85</f>
        <v>6749.9</v>
      </c>
    </row>
    <row r="85" spans="1:9" ht="39" customHeight="1">
      <c r="A85" s="291"/>
      <c r="B85" s="164" t="s">
        <v>97</v>
      </c>
      <c r="C85" s="744" t="s">
        <v>59</v>
      </c>
      <c r="D85" s="745" t="s">
        <v>50</v>
      </c>
      <c r="E85" s="745" t="s">
        <v>59</v>
      </c>
      <c r="F85" s="746" t="s">
        <v>736</v>
      </c>
      <c r="G85" s="150" t="s">
        <v>98</v>
      </c>
      <c r="H85" s="305">
        <f>'прил13(ведом 22-23)'!M361</f>
        <v>6749.9</v>
      </c>
      <c r="I85" s="305">
        <f>'прил13(ведом 22-23)'!N361</f>
        <v>6749.9</v>
      </c>
    </row>
    <row r="86" spans="1:9" ht="36" customHeight="1">
      <c r="A86" s="291"/>
      <c r="B86" s="655" t="s">
        <v>428</v>
      </c>
      <c r="C86" s="656" t="s">
        <v>59</v>
      </c>
      <c r="D86" s="657" t="s">
        <v>50</v>
      </c>
      <c r="E86" s="657" t="s">
        <v>84</v>
      </c>
      <c r="F86" s="658" t="s">
        <v>64</v>
      </c>
      <c r="G86" s="659"/>
      <c r="H86" s="305">
        <f>H87</f>
        <v>100.4</v>
      </c>
      <c r="I86" s="305">
        <f>I87</f>
        <v>100.4</v>
      </c>
    </row>
    <row r="87" spans="1:9" ht="51.75" customHeight="1">
      <c r="A87" s="291"/>
      <c r="B87" s="622" t="s">
        <v>821</v>
      </c>
      <c r="C87" s="656" t="s">
        <v>59</v>
      </c>
      <c r="D87" s="657" t="s">
        <v>50</v>
      </c>
      <c r="E87" s="657" t="s">
        <v>84</v>
      </c>
      <c r="F87" s="658" t="s">
        <v>126</v>
      </c>
      <c r="G87" s="659"/>
      <c r="H87" s="305">
        <f>H88</f>
        <v>100.4</v>
      </c>
      <c r="I87" s="305">
        <f>I88</f>
        <v>100.4</v>
      </c>
    </row>
    <row r="88" spans="1:9" ht="37.5">
      <c r="A88" s="291"/>
      <c r="B88" s="622" t="s">
        <v>75</v>
      </c>
      <c r="C88" s="656" t="s">
        <v>59</v>
      </c>
      <c r="D88" s="657" t="s">
        <v>50</v>
      </c>
      <c r="E88" s="657" t="s">
        <v>84</v>
      </c>
      <c r="F88" s="658" t="s">
        <v>126</v>
      </c>
      <c r="G88" s="659" t="s">
        <v>76</v>
      </c>
      <c r="H88" s="305">
        <f>'прил13(ведом 22-23)'!M273</f>
        <v>100.4</v>
      </c>
      <c r="I88" s="305">
        <f>'прил13(ведом 22-23)'!N273</f>
        <v>100.4</v>
      </c>
    </row>
    <row r="89" spans="1:9" ht="34.5" customHeight="1">
      <c r="A89" s="291"/>
      <c r="B89" s="622" t="s">
        <v>804</v>
      </c>
      <c r="C89" s="656" t="s">
        <v>59</v>
      </c>
      <c r="D89" s="657" t="s">
        <v>50</v>
      </c>
      <c r="E89" s="657" t="s">
        <v>72</v>
      </c>
      <c r="F89" s="658" t="s">
        <v>64</v>
      </c>
      <c r="G89" s="659"/>
      <c r="H89" s="305">
        <f>H90</f>
        <v>25</v>
      </c>
      <c r="I89" s="305">
        <f>I90</f>
        <v>25</v>
      </c>
    </row>
    <row r="90" spans="1:9" ht="24" customHeight="1">
      <c r="A90" s="291"/>
      <c r="B90" s="622" t="s">
        <v>822</v>
      </c>
      <c r="C90" s="656" t="s">
        <v>59</v>
      </c>
      <c r="D90" s="657" t="s">
        <v>50</v>
      </c>
      <c r="E90" s="657" t="s">
        <v>72</v>
      </c>
      <c r="F90" s="658" t="s">
        <v>803</v>
      </c>
      <c r="G90" s="659"/>
      <c r="H90" s="305">
        <f>H91</f>
        <v>25</v>
      </c>
      <c r="I90" s="305">
        <f>I91</f>
        <v>25</v>
      </c>
    </row>
    <row r="91" spans="1:9" ht="33.75" customHeight="1">
      <c r="A91" s="291"/>
      <c r="B91" s="622" t="s">
        <v>75</v>
      </c>
      <c r="C91" s="656" t="s">
        <v>59</v>
      </c>
      <c r="D91" s="657" t="s">
        <v>50</v>
      </c>
      <c r="E91" s="657" t="s">
        <v>72</v>
      </c>
      <c r="F91" s="658" t="s">
        <v>803</v>
      </c>
      <c r="G91" s="659" t="s">
        <v>76</v>
      </c>
      <c r="H91" s="305">
        <f>'прил13(ведом 22-23)'!M276</f>
        <v>25</v>
      </c>
      <c r="I91" s="305">
        <f>'прил13(ведом 22-23)'!N276</f>
        <v>25</v>
      </c>
    </row>
    <row r="92" spans="1:9" ht="31.5" customHeight="1">
      <c r="A92" s="291"/>
      <c r="B92" s="622" t="s">
        <v>818</v>
      </c>
      <c r="C92" s="656" t="s">
        <v>59</v>
      </c>
      <c r="D92" s="657" t="s">
        <v>50</v>
      </c>
      <c r="E92" s="657" t="s">
        <v>86</v>
      </c>
      <c r="F92" s="740" t="s">
        <v>64</v>
      </c>
      <c r="G92" s="289"/>
      <c r="H92" s="305">
        <f>H93</f>
        <v>103.4</v>
      </c>
      <c r="I92" s="305">
        <f>I93</f>
        <v>103.4</v>
      </c>
    </row>
    <row r="93" spans="1:9" ht="36.75" customHeight="1">
      <c r="A93" s="291"/>
      <c r="B93" s="622" t="s">
        <v>148</v>
      </c>
      <c r="C93" s="656" t="s">
        <v>59</v>
      </c>
      <c r="D93" s="657" t="s">
        <v>50</v>
      </c>
      <c r="E93" s="657" t="s">
        <v>86</v>
      </c>
      <c r="F93" s="740" t="s">
        <v>111</v>
      </c>
      <c r="G93" s="289"/>
      <c r="H93" s="305">
        <f>H94</f>
        <v>103.4</v>
      </c>
      <c r="I93" s="305">
        <f>I94</f>
        <v>103.4</v>
      </c>
    </row>
    <row r="94" spans="1:9" ht="34.5" customHeight="1">
      <c r="A94" s="291"/>
      <c r="B94" s="622" t="s">
        <v>75</v>
      </c>
      <c r="C94" s="656" t="s">
        <v>59</v>
      </c>
      <c r="D94" s="657" t="s">
        <v>50</v>
      </c>
      <c r="E94" s="657" t="s">
        <v>86</v>
      </c>
      <c r="F94" s="740" t="s">
        <v>111</v>
      </c>
      <c r="G94" s="289" t="s">
        <v>76</v>
      </c>
      <c r="H94" s="305">
        <f>'прил13(ведом 22-23)'!M279</f>
        <v>103.4</v>
      </c>
      <c r="I94" s="305">
        <f>'прил13(ведом 22-23)'!N279</f>
        <v>103.4</v>
      </c>
    </row>
    <row r="95" spans="1:9" ht="18.75">
      <c r="A95" s="291"/>
      <c r="B95" s="313"/>
      <c r="C95" s="738"/>
      <c r="D95" s="739"/>
      <c r="E95" s="739"/>
      <c r="F95" s="740"/>
      <c r="G95" s="289"/>
      <c r="H95" s="305"/>
      <c r="I95" s="305"/>
    </row>
    <row r="96" spans="1:9" s="303" customFormat="1" ht="56.25">
      <c r="A96" s="314">
        <v>2</v>
      </c>
      <c r="B96" s="298" t="s">
        <v>235</v>
      </c>
      <c r="C96" s="315" t="s">
        <v>84</v>
      </c>
      <c r="D96" s="315" t="s">
        <v>62</v>
      </c>
      <c r="E96" s="315" t="s">
        <v>63</v>
      </c>
      <c r="F96" s="316" t="s">
        <v>64</v>
      </c>
      <c r="G96" s="301"/>
      <c r="H96" s="302">
        <f>H97+H122+H116</f>
        <v>91914</v>
      </c>
      <c r="I96" s="302">
        <f>I97+I122+I116</f>
        <v>92030.5</v>
      </c>
    </row>
    <row r="97" spans="1:9" s="303" customFormat="1" ht="56.25">
      <c r="A97" s="291"/>
      <c r="B97" s="317" t="s">
        <v>236</v>
      </c>
      <c r="C97" s="744" t="s">
        <v>84</v>
      </c>
      <c r="D97" s="745" t="s">
        <v>65</v>
      </c>
      <c r="E97" s="745" t="s">
        <v>63</v>
      </c>
      <c r="F97" s="746" t="s">
        <v>64</v>
      </c>
      <c r="G97" s="289"/>
      <c r="H97" s="305">
        <f>H98+H103+H108+H113</f>
        <v>82579.899999999994</v>
      </c>
      <c r="I97" s="305">
        <f>I98+I103+I108+I113</f>
        <v>82640.7</v>
      </c>
    </row>
    <row r="98" spans="1:9" s="303" customFormat="1" ht="37.5">
      <c r="A98" s="291"/>
      <c r="B98" s="317" t="s">
        <v>316</v>
      </c>
      <c r="C98" s="744" t="s">
        <v>84</v>
      </c>
      <c r="D98" s="745" t="s">
        <v>65</v>
      </c>
      <c r="E98" s="745" t="s">
        <v>57</v>
      </c>
      <c r="F98" s="746" t="s">
        <v>64</v>
      </c>
      <c r="G98" s="289"/>
      <c r="H98" s="305">
        <f>H99+H101</f>
        <v>57661.299999999996</v>
      </c>
      <c r="I98" s="305">
        <f>I99+I101</f>
        <v>57688.1</v>
      </c>
    </row>
    <row r="99" spans="1:9" s="303" customFormat="1" ht="37.5">
      <c r="A99" s="291"/>
      <c r="B99" s="304" t="s">
        <v>800</v>
      </c>
      <c r="C99" s="744" t="s">
        <v>84</v>
      </c>
      <c r="D99" s="745" t="s">
        <v>65</v>
      </c>
      <c r="E99" s="745" t="s">
        <v>57</v>
      </c>
      <c r="F99" s="746" t="s">
        <v>112</v>
      </c>
      <c r="G99" s="150"/>
      <c r="H99" s="305">
        <f>H100</f>
        <v>56386.6</v>
      </c>
      <c r="I99" s="305">
        <f>I100</f>
        <v>56413.4</v>
      </c>
    </row>
    <row r="100" spans="1:9" s="303" customFormat="1" ht="42.75" customHeight="1">
      <c r="A100" s="291"/>
      <c r="B100" s="306" t="s">
        <v>97</v>
      </c>
      <c r="C100" s="744" t="s">
        <v>84</v>
      </c>
      <c r="D100" s="745" t="s">
        <v>65</v>
      </c>
      <c r="E100" s="745" t="s">
        <v>57</v>
      </c>
      <c r="F100" s="746" t="s">
        <v>112</v>
      </c>
      <c r="G100" s="150" t="s">
        <v>98</v>
      </c>
      <c r="H100" s="305">
        <f>'прил13(ведом 22-23)'!M400</f>
        <v>56386.6</v>
      </c>
      <c r="I100" s="305">
        <f>'прил13(ведом 22-23)'!N400</f>
        <v>56413.4</v>
      </c>
    </row>
    <row r="101" spans="1:9" s="303" customFormat="1" ht="42.75" customHeight="1">
      <c r="A101" s="291"/>
      <c r="B101" s="168" t="s">
        <v>378</v>
      </c>
      <c r="C101" s="744" t="s">
        <v>84</v>
      </c>
      <c r="D101" s="745" t="s">
        <v>65</v>
      </c>
      <c r="E101" s="745" t="s">
        <v>57</v>
      </c>
      <c r="F101" s="746" t="s">
        <v>379</v>
      </c>
      <c r="G101" s="150"/>
      <c r="H101" s="305">
        <f>'прил13(ведом 22-23)'!M401</f>
        <v>1274.7</v>
      </c>
      <c r="I101" s="305">
        <f>'прил13(ведом 22-23)'!N401</f>
        <v>1274.7</v>
      </c>
    </row>
    <row r="102" spans="1:9" s="303" customFormat="1" ht="42.75" customHeight="1">
      <c r="A102" s="291"/>
      <c r="B102" s="168" t="s">
        <v>97</v>
      </c>
      <c r="C102" s="744" t="s">
        <v>84</v>
      </c>
      <c r="D102" s="745" t="s">
        <v>65</v>
      </c>
      <c r="E102" s="745" t="s">
        <v>57</v>
      </c>
      <c r="F102" s="746" t="s">
        <v>379</v>
      </c>
      <c r="G102" s="150" t="s">
        <v>98</v>
      </c>
      <c r="H102" s="305">
        <f>'прил13(ведом 22-23)'!M402</f>
        <v>1274.7</v>
      </c>
      <c r="I102" s="305">
        <f>'прил13(ведом 22-23)'!N402</f>
        <v>1274.7</v>
      </c>
    </row>
    <row r="103" spans="1:9" s="303" customFormat="1" ht="18.75">
      <c r="A103" s="291"/>
      <c r="B103" s="304" t="s">
        <v>380</v>
      </c>
      <c r="C103" s="180" t="s">
        <v>84</v>
      </c>
      <c r="D103" s="321" t="s">
        <v>65</v>
      </c>
      <c r="E103" s="321" t="s">
        <v>84</v>
      </c>
      <c r="F103" s="322" t="s">
        <v>64</v>
      </c>
      <c r="G103" s="323"/>
      <c r="H103" s="305">
        <f>H104+H106</f>
        <v>11645.9</v>
      </c>
      <c r="I103" s="305">
        <f>I104+I106</f>
        <v>11655.5</v>
      </c>
    </row>
    <row r="104" spans="1:9" s="303" customFormat="1" ht="37.5">
      <c r="A104" s="291"/>
      <c r="B104" s="304" t="s">
        <v>800</v>
      </c>
      <c r="C104" s="180" t="s">
        <v>84</v>
      </c>
      <c r="D104" s="321" t="s">
        <v>65</v>
      </c>
      <c r="E104" s="321" t="s">
        <v>84</v>
      </c>
      <c r="F104" s="322" t="s">
        <v>112</v>
      </c>
      <c r="G104" s="323"/>
      <c r="H104" s="305">
        <f>H105</f>
        <v>11498.5</v>
      </c>
      <c r="I104" s="305">
        <f>I105</f>
        <v>11508.1</v>
      </c>
    </row>
    <row r="105" spans="1:9" s="303" customFormat="1" ht="45" customHeight="1">
      <c r="A105" s="291"/>
      <c r="B105" s="306" t="s">
        <v>97</v>
      </c>
      <c r="C105" s="744" t="s">
        <v>84</v>
      </c>
      <c r="D105" s="745" t="s">
        <v>65</v>
      </c>
      <c r="E105" s="745" t="s">
        <v>84</v>
      </c>
      <c r="F105" s="746" t="s">
        <v>112</v>
      </c>
      <c r="G105" s="150" t="s">
        <v>98</v>
      </c>
      <c r="H105" s="305">
        <f>'прил13(ведом 22-23)'!M415</f>
        <v>11498.5</v>
      </c>
      <c r="I105" s="305">
        <f>'прил13(ведом 22-23)'!N415</f>
        <v>11508.1</v>
      </c>
    </row>
    <row r="106" spans="1:9" s="303" customFormat="1" ht="45" customHeight="1">
      <c r="A106" s="291"/>
      <c r="B106" s="168" t="s">
        <v>378</v>
      </c>
      <c r="C106" s="744" t="s">
        <v>84</v>
      </c>
      <c r="D106" s="745" t="s">
        <v>65</v>
      </c>
      <c r="E106" s="745" t="s">
        <v>84</v>
      </c>
      <c r="F106" s="746" t="s">
        <v>379</v>
      </c>
      <c r="G106" s="150"/>
      <c r="H106" s="305">
        <f>H107</f>
        <v>147.4</v>
      </c>
      <c r="I106" s="305">
        <f>I107</f>
        <v>147.4</v>
      </c>
    </row>
    <row r="107" spans="1:9" s="303" customFormat="1" ht="42.75" customHeight="1">
      <c r="A107" s="291"/>
      <c r="B107" s="168" t="s">
        <v>97</v>
      </c>
      <c r="C107" s="744" t="s">
        <v>84</v>
      </c>
      <c r="D107" s="745" t="s">
        <v>65</v>
      </c>
      <c r="E107" s="745" t="s">
        <v>84</v>
      </c>
      <c r="F107" s="746" t="s">
        <v>379</v>
      </c>
      <c r="G107" s="150" t="s">
        <v>98</v>
      </c>
      <c r="H107" s="305">
        <f>'прил13(ведом 22-23)'!M417</f>
        <v>147.4</v>
      </c>
      <c r="I107" s="305">
        <f>'прил13(ведом 22-23)'!N417</f>
        <v>147.4</v>
      </c>
    </row>
    <row r="108" spans="1:9" s="303" customFormat="1" ht="37.5">
      <c r="A108" s="291"/>
      <c r="B108" s="306" t="s">
        <v>382</v>
      </c>
      <c r="C108" s="180" t="s">
        <v>84</v>
      </c>
      <c r="D108" s="321" t="s">
        <v>65</v>
      </c>
      <c r="E108" s="321" t="s">
        <v>72</v>
      </c>
      <c r="F108" s="746" t="s">
        <v>64</v>
      </c>
      <c r="G108" s="150"/>
      <c r="H108" s="305">
        <f>H109</f>
        <v>12994.800000000001</v>
      </c>
      <c r="I108" s="305">
        <f>I109</f>
        <v>13019.2</v>
      </c>
    </row>
    <row r="109" spans="1:9" s="303" customFormat="1" ht="37.5">
      <c r="A109" s="291"/>
      <c r="B109" s="304" t="s">
        <v>800</v>
      </c>
      <c r="C109" s="180" t="s">
        <v>84</v>
      </c>
      <c r="D109" s="321" t="s">
        <v>65</v>
      </c>
      <c r="E109" s="321" t="s">
        <v>72</v>
      </c>
      <c r="F109" s="322" t="s">
        <v>112</v>
      </c>
      <c r="G109" s="323"/>
      <c r="H109" s="305">
        <f>SUM(H110:H112)</f>
        <v>12994.800000000001</v>
      </c>
      <c r="I109" s="305">
        <f>SUM(I110:I112)</f>
        <v>13019.2</v>
      </c>
    </row>
    <row r="110" spans="1:9" s="303" customFormat="1" ht="93.75">
      <c r="A110" s="291"/>
      <c r="B110" s="164" t="s">
        <v>69</v>
      </c>
      <c r="C110" s="744" t="s">
        <v>84</v>
      </c>
      <c r="D110" s="745" t="s">
        <v>65</v>
      </c>
      <c r="E110" s="745" t="s">
        <v>72</v>
      </c>
      <c r="F110" s="746" t="s">
        <v>112</v>
      </c>
      <c r="G110" s="150" t="s">
        <v>70</v>
      </c>
      <c r="H110" s="305">
        <f>'прил13(ведом 22-23)'!M420</f>
        <v>11426.1</v>
      </c>
      <c r="I110" s="305">
        <f>'прил13(ведом 22-23)'!N420</f>
        <v>11426.1</v>
      </c>
    </row>
    <row r="111" spans="1:9" s="303" customFormat="1" ht="37.5">
      <c r="A111" s="291"/>
      <c r="B111" s="164" t="s">
        <v>75</v>
      </c>
      <c r="C111" s="744" t="s">
        <v>84</v>
      </c>
      <c r="D111" s="745" t="s">
        <v>65</v>
      </c>
      <c r="E111" s="745" t="s">
        <v>72</v>
      </c>
      <c r="F111" s="746" t="s">
        <v>112</v>
      </c>
      <c r="G111" s="150" t="s">
        <v>76</v>
      </c>
      <c r="H111" s="305">
        <f>'прил13(ведом 22-23)'!M421</f>
        <v>1554.1</v>
      </c>
      <c r="I111" s="305">
        <f>'прил13(ведом 22-23)'!N421</f>
        <v>1578.5</v>
      </c>
    </row>
    <row r="112" spans="1:9" s="303" customFormat="1" ht="18.75">
      <c r="A112" s="291"/>
      <c r="B112" s="164" t="s">
        <v>77</v>
      </c>
      <c r="C112" s="744" t="s">
        <v>84</v>
      </c>
      <c r="D112" s="745" t="s">
        <v>65</v>
      </c>
      <c r="E112" s="745" t="s">
        <v>72</v>
      </c>
      <c r="F112" s="746" t="s">
        <v>112</v>
      </c>
      <c r="G112" s="150" t="s">
        <v>78</v>
      </c>
      <c r="H112" s="305">
        <f>'прил13(ведом 22-23)'!M422</f>
        <v>14.6</v>
      </c>
      <c r="I112" s="305">
        <f>'прил13(ведом 22-23)'!N422</f>
        <v>14.6</v>
      </c>
    </row>
    <row r="113" spans="1:9" s="303" customFormat="1" ht="39.75" customHeight="1">
      <c r="A113" s="291"/>
      <c r="B113" s="168" t="s">
        <v>321</v>
      </c>
      <c r="C113" s="744" t="s">
        <v>84</v>
      </c>
      <c r="D113" s="745" t="s">
        <v>65</v>
      </c>
      <c r="E113" s="745" t="s">
        <v>86</v>
      </c>
      <c r="F113" s="746" t="s">
        <v>64</v>
      </c>
      <c r="G113" s="150"/>
      <c r="H113" s="305">
        <f>'прил13(ведом 22-23)'!M406</f>
        <v>277.89999999999998</v>
      </c>
      <c r="I113" s="305">
        <f>'прил13(ведом 22-23)'!N406</f>
        <v>277.89999999999998</v>
      </c>
    </row>
    <row r="114" spans="1:9" s="303" customFormat="1" ht="37.5">
      <c r="A114" s="291"/>
      <c r="B114" s="168" t="s">
        <v>817</v>
      </c>
      <c r="C114" s="744" t="s">
        <v>84</v>
      </c>
      <c r="D114" s="745" t="s">
        <v>65</v>
      </c>
      <c r="E114" s="745" t="s">
        <v>86</v>
      </c>
      <c r="F114" s="746" t="s">
        <v>816</v>
      </c>
      <c r="G114" s="150"/>
      <c r="H114" s="305">
        <f>'прил13(ведом 22-23)'!M407</f>
        <v>277.89999999999998</v>
      </c>
      <c r="I114" s="305">
        <f>'прил13(ведом 22-23)'!N407</f>
        <v>277.89999999999998</v>
      </c>
    </row>
    <row r="115" spans="1:9" s="303" customFormat="1" ht="34.5" customHeight="1">
      <c r="A115" s="291"/>
      <c r="B115" s="168" t="s">
        <v>97</v>
      </c>
      <c r="C115" s="744" t="s">
        <v>84</v>
      </c>
      <c r="D115" s="745" t="s">
        <v>65</v>
      </c>
      <c r="E115" s="745" t="s">
        <v>86</v>
      </c>
      <c r="F115" s="746" t="s">
        <v>816</v>
      </c>
      <c r="G115" s="150" t="s">
        <v>98</v>
      </c>
      <c r="H115" s="305">
        <f>'прил13(ведом 22-23)'!M408</f>
        <v>277.89999999999998</v>
      </c>
      <c r="I115" s="305">
        <f>'прил13(ведом 22-23)'!N408</f>
        <v>277.89999999999998</v>
      </c>
    </row>
    <row r="116" spans="1:9" s="303" customFormat="1" ht="37.5">
      <c r="A116" s="291"/>
      <c r="B116" s="164" t="s">
        <v>391</v>
      </c>
      <c r="C116" s="180" t="s">
        <v>84</v>
      </c>
      <c r="D116" s="321" t="s">
        <v>110</v>
      </c>
      <c r="E116" s="321" t="s">
        <v>63</v>
      </c>
      <c r="F116" s="746" t="s">
        <v>64</v>
      </c>
      <c r="G116" s="150"/>
      <c r="H116" s="305">
        <f t="shared" ref="H116:I120" si="0">H117</f>
        <v>60</v>
      </c>
      <c r="I116" s="305">
        <f t="shared" si="0"/>
        <v>57.9</v>
      </c>
    </row>
    <row r="117" spans="1:9" s="303" customFormat="1" ht="93.75">
      <c r="A117" s="291"/>
      <c r="B117" s="168" t="s">
        <v>383</v>
      </c>
      <c r="C117" s="180" t="s">
        <v>84</v>
      </c>
      <c r="D117" s="321" t="s">
        <v>110</v>
      </c>
      <c r="E117" s="321" t="s">
        <v>84</v>
      </c>
      <c r="F117" s="746" t="s">
        <v>64</v>
      </c>
      <c r="G117" s="150"/>
      <c r="H117" s="305">
        <f>H120+H118</f>
        <v>60</v>
      </c>
      <c r="I117" s="305">
        <f>I120+I118</f>
        <v>57.9</v>
      </c>
    </row>
    <row r="118" spans="1:9" s="303" customFormat="1" ht="37.5">
      <c r="A118" s="291"/>
      <c r="B118" s="168" t="s">
        <v>378</v>
      </c>
      <c r="C118" s="180" t="s">
        <v>84</v>
      </c>
      <c r="D118" s="321" t="s">
        <v>110</v>
      </c>
      <c r="E118" s="321" t="s">
        <v>84</v>
      </c>
      <c r="F118" s="746" t="s">
        <v>379</v>
      </c>
      <c r="G118" s="150"/>
      <c r="H118" s="305">
        <f>H119</f>
        <v>17.899999999999999</v>
      </c>
      <c r="I118" s="305">
        <f>I119</f>
        <v>17.899999999999999</v>
      </c>
    </row>
    <row r="119" spans="1:9" s="303" customFormat="1" ht="38.25" customHeight="1">
      <c r="A119" s="291"/>
      <c r="B119" s="168" t="s">
        <v>97</v>
      </c>
      <c r="C119" s="180" t="s">
        <v>84</v>
      </c>
      <c r="D119" s="321" t="s">
        <v>110</v>
      </c>
      <c r="E119" s="321" t="s">
        <v>84</v>
      </c>
      <c r="F119" s="746" t="s">
        <v>379</v>
      </c>
      <c r="G119" s="150" t="s">
        <v>98</v>
      </c>
      <c r="H119" s="305">
        <f>'прил13(ведом 22-23)'!M426</f>
        <v>17.899999999999999</v>
      </c>
      <c r="I119" s="305">
        <f>'прил13(ведом 22-23)'!N426</f>
        <v>17.899999999999999</v>
      </c>
    </row>
    <row r="120" spans="1:9" s="303" customFormat="1" ht="42" customHeight="1">
      <c r="A120" s="291"/>
      <c r="B120" s="168" t="s">
        <v>587</v>
      </c>
      <c r="C120" s="744" t="s">
        <v>84</v>
      </c>
      <c r="D120" s="745" t="s">
        <v>110</v>
      </c>
      <c r="E120" s="745" t="s">
        <v>84</v>
      </c>
      <c r="F120" s="746" t="s">
        <v>588</v>
      </c>
      <c r="G120" s="150"/>
      <c r="H120" s="305">
        <f t="shared" si="0"/>
        <v>42.1</v>
      </c>
      <c r="I120" s="305">
        <f t="shared" si="0"/>
        <v>40</v>
      </c>
    </row>
    <row r="121" spans="1:9" s="303" customFormat="1" ht="42" customHeight="1">
      <c r="A121" s="291"/>
      <c r="B121" s="168" t="s">
        <v>97</v>
      </c>
      <c r="C121" s="744" t="s">
        <v>84</v>
      </c>
      <c r="D121" s="745" t="s">
        <v>110</v>
      </c>
      <c r="E121" s="745" t="s">
        <v>84</v>
      </c>
      <c r="F121" s="746" t="s">
        <v>588</v>
      </c>
      <c r="G121" s="150" t="s">
        <v>98</v>
      </c>
      <c r="H121" s="305">
        <f>'прил13(ведом 22-23)'!M428</f>
        <v>42.1</v>
      </c>
      <c r="I121" s="305">
        <f>'прил13(ведом 22-23)'!N428</f>
        <v>40</v>
      </c>
    </row>
    <row r="122" spans="1:9" s="303" customFormat="1" ht="39" customHeight="1">
      <c r="A122" s="291"/>
      <c r="B122" s="304" t="s">
        <v>238</v>
      </c>
      <c r="C122" s="744" t="s">
        <v>84</v>
      </c>
      <c r="D122" s="745" t="s">
        <v>50</v>
      </c>
      <c r="E122" s="745" t="s">
        <v>63</v>
      </c>
      <c r="F122" s="746" t="s">
        <v>64</v>
      </c>
      <c r="G122" s="289"/>
      <c r="H122" s="305">
        <f>H123+H132</f>
        <v>9274.1</v>
      </c>
      <c r="I122" s="305">
        <f>I123+I132</f>
        <v>9331.9000000000015</v>
      </c>
    </row>
    <row r="123" spans="1:9" s="303" customFormat="1" ht="37.5">
      <c r="A123" s="291"/>
      <c r="B123" s="304" t="s">
        <v>322</v>
      </c>
      <c r="C123" s="744" t="s">
        <v>84</v>
      </c>
      <c r="D123" s="745" t="s">
        <v>50</v>
      </c>
      <c r="E123" s="745" t="s">
        <v>57</v>
      </c>
      <c r="F123" s="746" t="s">
        <v>64</v>
      </c>
      <c r="G123" s="150"/>
      <c r="H123" s="305">
        <f>H124+H128</f>
        <v>9246.1</v>
      </c>
      <c r="I123" s="305">
        <f>I124+I128</f>
        <v>9303.9000000000015</v>
      </c>
    </row>
    <row r="124" spans="1:9" ht="37.5">
      <c r="A124" s="291"/>
      <c r="B124" s="304" t="s">
        <v>67</v>
      </c>
      <c r="C124" s="744" t="s">
        <v>84</v>
      </c>
      <c r="D124" s="745" t="s">
        <v>50</v>
      </c>
      <c r="E124" s="745" t="s">
        <v>57</v>
      </c>
      <c r="F124" s="746" t="s">
        <v>68</v>
      </c>
      <c r="G124" s="323"/>
      <c r="H124" s="305">
        <f>SUM(H125:H127)</f>
        <v>2806.7</v>
      </c>
      <c r="I124" s="305">
        <f>SUM(I125:I127)</f>
        <v>2807.3</v>
      </c>
    </row>
    <row r="125" spans="1:9" ht="93.75">
      <c r="A125" s="291"/>
      <c r="B125" s="304" t="s">
        <v>69</v>
      </c>
      <c r="C125" s="744" t="s">
        <v>84</v>
      </c>
      <c r="D125" s="745" t="s">
        <v>50</v>
      </c>
      <c r="E125" s="745" t="s">
        <v>57</v>
      </c>
      <c r="F125" s="746" t="s">
        <v>68</v>
      </c>
      <c r="G125" s="323" t="s">
        <v>70</v>
      </c>
      <c r="H125" s="305">
        <f>'прил13(ведом 22-23)'!M434</f>
        <v>2605.6</v>
      </c>
      <c r="I125" s="305">
        <f>'прил13(ведом 22-23)'!N434</f>
        <v>2605.6</v>
      </c>
    </row>
    <row r="126" spans="1:9" ht="37.5">
      <c r="A126" s="291"/>
      <c r="B126" s="304" t="s">
        <v>75</v>
      </c>
      <c r="C126" s="744" t="s">
        <v>84</v>
      </c>
      <c r="D126" s="745" t="s">
        <v>50</v>
      </c>
      <c r="E126" s="745" t="s">
        <v>57</v>
      </c>
      <c r="F126" s="746" t="s">
        <v>68</v>
      </c>
      <c r="G126" s="323" t="s">
        <v>76</v>
      </c>
      <c r="H126" s="305">
        <f>'прил13(ведом 22-23)'!M435</f>
        <v>196.7</v>
      </c>
      <c r="I126" s="305">
        <f>'прил13(ведом 22-23)'!N435</f>
        <v>197.4</v>
      </c>
    </row>
    <row r="127" spans="1:9" ht="18.75">
      <c r="A127" s="291"/>
      <c r="B127" s="164" t="s">
        <v>77</v>
      </c>
      <c r="C127" s="744" t="s">
        <v>84</v>
      </c>
      <c r="D127" s="745" t="s">
        <v>50</v>
      </c>
      <c r="E127" s="745" t="s">
        <v>57</v>
      </c>
      <c r="F127" s="746" t="s">
        <v>68</v>
      </c>
      <c r="G127" s="150" t="s">
        <v>78</v>
      </c>
      <c r="H127" s="305">
        <f>'прил13(ведом 22-23)'!M436</f>
        <v>4.4000000000000004</v>
      </c>
      <c r="I127" s="305">
        <f>'прил13(ведом 22-23)'!N436</f>
        <v>4.3</v>
      </c>
    </row>
    <row r="128" spans="1:9" ht="37.5">
      <c r="A128" s="291"/>
      <c r="B128" s="304" t="s">
        <v>800</v>
      </c>
      <c r="C128" s="744" t="s">
        <v>84</v>
      </c>
      <c r="D128" s="745" t="s">
        <v>50</v>
      </c>
      <c r="E128" s="745" t="s">
        <v>57</v>
      </c>
      <c r="F128" s="746" t="s">
        <v>112</v>
      </c>
      <c r="G128" s="150"/>
      <c r="H128" s="305">
        <f>SUM(H129:H131)</f>
        <v>6439.4000000000005</v>
      </c>
      <c r="I128" s="305">
        <f>SUM(I129:I131)</f>
        <v>6496.6</v>
      </c>
    </row>
    <row r="129" spans="1:9" ht="93.75">
      <c r="A129" s="291"/>
      <c r="B129" s="304" t="s">
        <v>69</v>
      </c>
      <c r="C129" s="744" t="s">
        <v>84</v>
      </c>
      <c r="D129" s="745" t="s">
        <v>50</v>
      </c>
      <c r="E129" s="745" t="s">
        <v>57</v>
      </c>
      <c r="F129" s="746" t="s">
        <v>112</v>
      </c>
      <c r="G129" s="323" t="s">
        <v>70</v>
      </c>
      <c r="H129" s="305">
        <f>'прил13(ведом 22-23)'!M438</f>
        <v>5959.1</v>
      </c>
      <c r="I129" s="305">
        <f>'прил13(ведом 22-23)'!N438</f>
        <v>5959.1</v>
      </c>
    </row>
    <row r="130" spans="1:9" ht="37.5">
      <c r="A130" s="291"/>
      <c r="B130" s="164" t="s">
        <v>75</v>
      </c>
      <c r="C130" s="744" t="s">
        <v>84</v>
      </c>
      <c r="D130" s="745" t="s">
        <v>50</v>
      </c>
      <c r="E130" s="745" t="s">
        <v>57</v>
      </c>
      <c r="F130" s="746" t="s">
        <v>112</v>
      </c>
      <c r="G130" s="323" t="s">
        <v>76</v>
      </c>
      <c r="H130" s="305">
        <f>'прил13(ведом 22-23)'!M439</f>
        <v>478.7</v>
      </c>
      <c r="I130" s="305">
        <f>'прил13(ведом 22-23)'!N439</f>
        <v>535.9</v>
      </c>
    </row>
    <row r="131" spans="1:9" ht="18.75">
      <c r="A131" s="291"/>
      <c r="B131" s="164" t="s">
        <v>77</v>
      </c>
      <c r="C131" s="744" t="s">
        <v>84</v>
      </c>
      <c r="D131" s="745" t="s">
        <v>50</v>
      </c>
      <c r="E131" s="745" t="s">
        <v>57</v>
      </c>
      <c r="F131" s="746" t="s">
        <v>112</v>
      </c>
      <c r="G131" s="150" t="s">
        <v>78</v>
      </c>
      <c r="H131" s="305">
        <f>'прил13(ведом 22-23)'!M440</f>
        <v>1.6</v>
      </c>
      <c r="I131" s="305">
        <f>'прил13(ведом 22-23)'!N440</f>
        <v>1.6</v>
      </c>
    </row>
    <row r="132" spans="1:9" ht="37.5">
      <c r="A132" s="291"/>
      <c r="B132" s="164" t="s">
        <v>428</v>
      </c>
      <c r="C132" s="580" t="s">
        <v>84</v>
      </c>
      <c r="D132" s="581" t="s">
        <v>50</v>
      </c>
      <c r="E132" s="581" t="s">
        <v>59</v>
      </c>
      <c r="F132" s="582" t="s">
        <v>64</v>
      </c>
      <c r="G132" s="160"/>
      <c r="H132" s="305">
        <f>H133</f>
        <v>28</v>
      </c>
      <c r="I132" s="305">
        <f>I133</f>
        <v>28</v>
      </c>
    </row>
    <row r="133" spans="1:9" ht="56.25">
      <c r="A133" s="291"/>
      <c r="B133" s="164" t="s">
        <v>429</v>
      </c>
      <c r="C133" s="580" t="s">
        <v>84</v>
      </c>
      <c r="D133" s="581" t="s">
        <v>50</v>
      </c>
      <c r="E133" s="581" t="s">
        <v>59</v>
      </c>
      <c r="F133" s="582" t="s">
        <v>126</v>
      </c>
      <c r="G133" s="160"/>
      <c r="H133" s="305">
        <f>H134</f>
        <v>28</v>
      </c>
      <c r="I133" s="305">
        <f>I134</f>
        <v>28</v>
      </c>
    </row>
    <row r="134" spans="1:9" ht="37.5">
      <c r="A134" s="291"/>
      <c r="B134" s="164" t="s">
        <v>75</v>
      </c>
      <c r="C134" s="580" t="s">
        <v>84</v>
      </c>
      <c r="D134" s="581" t="s">
        <v>50</v>
      </c>
      <c r="E134" s="581" t="s">
        <v>59</v>
      </c>
      <c r="F134" s="582" t="s">
        <v>126</v>
      </c>
      <c r="G134" s="181" t="s">
        <v>76</v>
      </c>
      <c r="H134" s="305">
        <f>'прил13(ведом 22-23)'!M393</f>
        <v>28</v>
      </c>
      <c r="I134" s="305">
        <f>'прил13(ведом 22-23)'!N393</f>
        <v>28</v>
      </c>
    </row>
    <row r="135" spans="1:9" ht="18.75">
      <c r="A135" s="291"/>
      <c r="B135" s="313"/>
      <c r="C135" s="739"/>
      <c r="D135" s="324"/>
      <c r="E135" s="325"/>
      <c r="F135" s="326"/>
      <c r="G135" s="289"/>
      <c r="H135" s="305"/>
      <c r="I135" s="305"/>
    </row>
    <row r="136" spans="1:9" s="303" customFormat="1" ht="56.25">
      <c r="A136" s="314">
        <v>3</v>
      </c>
      <c r="B136" s="327" t="s">
        <v>239</v>
      </c>
      <c r="C136" s="315" t="s">
        <v>72</v>
      </c>
      <c r="D136" s="315" t="s">
        <v>62</v>
      </c>
      <c r="E136" s="315" t="s">
        <v>63</v>
      </c>
      <c r="F136" s="316" t="s">
        <v>64</v>
      </c>
      <c r="G136" s="301"/>
      <c r="H136" s="302">
        <f>H137+H144</f>
        <v>21837.300000000003</v>
      </c>
      <c r="I136" s="302">
        <f>I137+I144</f>
        <v>24564.5</v>
      </c>
    </row>
    <row r="137" spans="1:9" s="303" customFormat="1" ht="25.5" customHeight="1">
      <c r="A137" s="314"/>
      <c r="B137" s="170" t="s">
        <v>240</v>
      </c>
      <c r="C137" s="744" t="s">
        <v>72</v>
      </c>
      <c r="D137" s="745" t="s">
        <v>65</v>
      </c>
      <c r="E137" s="745" t="s">
        <v>63</v>
      </c>
      <c r="F137" s="746" t="s">
        <v>64</v>
      </c>
      <c r="G137" s="301"/>
      <c r="H137" s="305">
        <f>H138+H141</f>
        <v>180</v>
      </c>
      <c r="I137" s="305">
        <f>I138+I141</f>
        <v>3869.7999999999997</v>
      </c>
    </row>
    <row r="138" spans="1:9" s="303" customFormat="1" ht="18.75">
      <c r="A138" s="314"/>
      <c r="B138" s="164" t="s">
        <v>317</v>
      </c>
      <c r="C138" s="744" t="s">
        <v>72</v>
      </c>
      <c r="D138" s="745" t="s">
        <v>65</v>
      </c>
      <c r="E138" s="745" t="s">
        <v>57</v>
      </c>
      <c r="F138" s="746" t="s">
        <v>64</v>
      </c>
      <c r="G138" s="150"/>
      <c r="H138" s="305">
        <f t="shared" ref="H138:I139" si="1">H139</f>
        <v>180</v>
      </c>
      <c r="I138" s="305">
        <f t="shared" si="1"/>
        <v>180</v>
      </c>
    </row>
    <row r="139" spans="1:9" s="303" customFormat="1" ht="37.5">
      <c r="A139" s="314"/>
      <c r="B139" s="164" t="s">
        <v>318</v>
      </c>
      <c r="C139" s="744" t="s">
        <v>72</v>
      </c>
      <c r="D139" s="745" t="s">
        <v>65</v>
      </c>
      <c r="E139" s="745" t="s">
        <v>57</v>
      </c>
      <c r="F139" s="746" t="s">
        <v>319</v>
      </c>
      <c r="G139" s="150"/>
      <c r="H139" s="305">
        <f t="shared" si="1"/>
        <v>180</v>
      </c>
      <c r="I139" s="305">
        <f t="shared" si="1"/>
        <v>180</v>
      </c>
    </row>
    <row r="140" spans="1:9" s="303" customFormat="1" ht="27" customHeight="1">
      <c r="A140" s="314"/>
      <c r="B140" s="164" t="s">
        <v>141</v>
      </c>
      <c r="C140" s="744" t="s">
        <v>72</v>
      </c>
      <c r="D140" s="745" t="s">
        <v>65</v>
      </c>
      <c r="E140" s="745" t="s">
        <v>57</v>
      </c>
      <c r="F140" s="746" t="s">
        <v>319</v>
      </c>
      <c r="G140" s="150" t="s">
        <v>142</v>
      </c>
      <c r="H140" s="305">
        <f>'прил13(ведом 22-23)'!M456</f>
        <v>180</v>
      </c>
      <c r="I140" s="305">
        <f>'прил13(ведом 22-23)'!N456</f>
        <v>180</v>
      </c>
    </row>
    <row r="141" spans="1:9" s="303" customFormat="1" ht="27" customHeight="1">
      <c r="A141" s="314"/>
      <c r="B141" s="164" t="s">
        <v>903</v>
      </c>
      <c r="C141" s="744" t="s">
        <v>72</v>
      </c>
      <c r="D141" s="745" t="s">
        <v>65</v>
      </c>
      <c r="E141" s="745" t="s">
        <v>902</v>
      </c>
      <c r="F141" s="746" t="s">
        <v>64</v>
      </c>
      <c r="G141" s="150"/>
      <c r="H141" s="305">
        <f>H142</f>
        <v>0</v>
      </c>
      <c r="I141" s="305">
        <f>I142</f>
        <v>3689.7999999999997</v>
      </c>
    </row>
    <row r="142" spans="1:9" s="303" customFormat="1" ht="40.5" customHeight="1">
      <c r="A142" s="314"/>
      <c r="B142" s="164" t="s">
        <v>904</v>
      </c>
      <c r="C142" s="744" t="s">
        <v>72</v>
      </c>
      <c r="D142" s="745" t="s">
        <v>65</v>
      </c>
      <c r="E142" s="745" t="s">
        <v>902</v>
      </c>
      <c r="F142" s="746" t="s">
        <v>921</v>
      </c>
      <c r="G142" s="150"/>
      <c r="H142" s="305">
        <f>H143</f>
        <v>0</v>
      </c>
      <c r="I142" s="305">
        <f>I143</f>
        <v>3689.7999999999997</v>
      </c>
    </row>
    <row r="143" spans="1:9" s="303" customFormat="1" ht="37.5" customHeight="1">
      <c r="A143" s="314"/>
      <c r="B143" s="164" t="s">
        <v>75</v>
      </c>
      <c r="C143" s="744" t="s">
        <v>72</v>
      </c>
      <c r="D143" s="745" t="s">
        <v>65</v>
      </c>
      <c r="E143" s="745" t="s">
        <v>902</v>
      </c>
      <c r="F143" s="746" t="s">
        <v>921</v>
      </c>
      <c r="G143" s="150" t="s">
        <v>76</v>
      </c>
      <c r="H143" s="305">
        <f>'прил13(ведом 22-23)'!M472</f>
        <v>0</v>
      </c>
      <c r="I143" s="305">
        <f>'прил13(ведом 22-23)'!N472</f>
        <v>3689.7999999999997</v>
      </c>
    </row>
    <row r="144" spans="1:9" ht="23.25" customHeight="1">
      <c r="A144" s="291"/>
      <c r="B144" s="304" t="s">
        <v>242</v>
      </c>
      <c r="C144" s="744" t="s">
        <v>72</v>
      </c>
      <c r="D144" s="745" t="s">
        <v>110</v>
      </c>
      <c r="E144" s="745" t="s">
        <v>63</v>
      </c>
      <c r="F144" s="746" t="s">
        <v>64</v>
      </c>
      <c r="G144" s="289"/>
      <c r="H144" s="305">
        <f>H145+H150+H159</f>
        <v>21657.300000000003</v>
      </c>
      <c r="I144" s="305">
        <f>I145+I150+I159</f>
        <v>20694.7</v>
      </c>
    </row>
    <row r="145" spans="1:9" ht="37.5">
      <c r="A145" s="291"/>
      <c r="B145" s="304" t="s">
        <v>322</v>
      </c>
      <c r="C145" s="744" t="s">
        <v>72</v>
      </c>
      <c r="D145" s="745" t="s">
        <v>110</v>
      </c>
      <c r="E145" s="745" t="s">
        <v>57</v>
      </c>
      <c r="F145" s="746" t="s">
        <v>64</v>
      </c>
      <c r="G145" s="150"/>
      <c r="H145" s="305">
        <f>H146</f>
        <v>2485.4</v>
      </c>
      <c r="I145" s="305">
        <f>I146</f>
        <v>2375.7000000000003</v>
      </c>
    </row>
    <row r="146" spans="1:9" ht="37.5">
      <c r="A146" s="291"/>
      <c r="B146" s="304" t="s">
        <v>67</v>
      </c>
      <c r="C146" s="744" t="s">
        <v>72</v>
      </c>
      <c r="D146" s="745" t="s">
        <v>110</v>
      </c>
      <c r="E146" s="745" t="s">
        <v>57</v>
      </c>
      <c r="F146" s="746" t="s">
        <v>68</v>
      </c>
      <c r="G146" s="150"/>
      <c r="H146" s="305">
        <f>SUM(H147:H149)</f>
        <v>2485.4</v>
      </c>
      <c r="I146" s="305">
        <f>SUM(I147:I149)</f>
        <v>2375.7000000000003</v>
      </c>
    </row>
    <row r="147" spans="1:9" ht="93.75">
      <c r="A147" s="291"/>
      <c r="B147" s="304" t="s">
        <v>69</v>
      </c>
      <c r="C147" s="744" t="s">
        <v>72</v>
      </c>
      <c r="D147" s="745" t="s">
        <v>110</v>
      </c>
      <c r="E147" s="745" t="s">
        <v>57</v>
      </c>
      <c r="F147" s="746" t="s">
        <v>68</v>
      </c>
      <c r="G147" s="150" t="s">
        <v>70</v>
      </c>
      <c r="H147" s="305">
        <f>'прил13(ведом 22-23)'!M478</f>
        <v>2371.8000000000002</v>
      </c>
      <c r="I147" s="305">
        <f>'прил13(ведом 22-23)'!N478</f>
        <v>2371.8000000000002</v>
      </c>
    </row>
    <row r="148" spans="1:9" ht="37.5">
      <c r="A148" s="291"/>
      <c r="B148" s="164" t="s">
        <v>75</v>
      </c>
      <c r="C148" s="744" t="s">
        <v>72</v>
      </c>
      <c r="D148" s="745" t="s">
        <v>110</v>
      </c>
      <c r="E148" s="745" t="s">
        <v>57</v>
      </c>
      <c r="F148" s="746" t="s">
        <v>68</v>
      </c>
      <c r="G148" s="150" t="s">
        <v>76</v>
      </c>
      <c r="H148" s="305">
        <f>'прил13(ведом 22-23)'!M479</f>
        <v>111.6</v>
      </c>
      <c r="I148" s="305">
        <f>'прил13(ведом 22-23)'!N479</f>
        <v>2</v>
      </c>
    </row>
    <row r="149" spans="1:9" ht="18.75">
      <c r="A149" s="291"/>
      <c r="B149" s="164" t="s">
        <v>77</v>
      </c>
      <c r="C149" s="744" t="s">
        <v>72</v>
      </c>
      <c r="D149" s="745" t="s">
        <v>110</v>
      </c>
      <c r="E149" s="745" t="s">
        <v>57</v>
      </c>
      <c r="F149" s="746" t="s">
        <v>68</v>
      </c>
      <c r="G149" s="150" t="s">
        <v>78</v>
      </c>
      <c r="H149" s="305">
        <f>'прил13(ведом 22-23)'!M480</f>
        <v>2</v>
      </c>
      <c r="I149" s="305">
        <f>'прил13(ведом 22-23)'!N480</f>
        <v>1.9</v>
      </c>
    </row>
    <row r="150" spans="1:9" ht="18.75">
      <c r="A150" s="291"/>
      <c r="B150" s="304" t="s">
        <v>444</v>
      </c>
      <c r="C150" s="744" t="s">
        <v>72</v>
      </c>
      <c r="D150" s="745" t="s">
        <v>110</v>
      </c>
      <c r="E150" s="745" t="s">
        <v>59</v>
      </c>
      <c r="F150" s="746" t="s">
        <v>64</v>
      </c>
      <c r="G150" s="150"/>
      <c r="H150" s="305">
        <f>H151+H155+H157</f>
        <v>19136.600000000002</v>
      </c>
      <c r="I150" s="305">
        <f>I151+I155+I157</f>
        <v>18283.7</v>
      </c>
    </row>
    <row r="151" spans="1:9" ht="37.5">
      <c r="A151" s="291"/>
      <c r="B151" s="304" t="s">
        <v>800</v>
      </c>
      <c r="C151" s="744" t="s">
        <v>72</v>
      </c>
      <c r="D151" s="745" t="s">
        <v>110</v>
      </c>
      <c r="E151" s="745" t="s">
        <v>59</v>
      </c>
      <c r="F151" s="746" t="s">
        <v>112</v>
      </c>
      <c r="G151" s="150"/>
      <c r="H151" s="305">
        <f>SUM(H152:H154)</f>
        <v>18158.7</v>
      </c>
      <c r="I151" s="305">
        <f>SUM(I152:I154)</f>
        <v>18158.7</v>
      </c>
    </row>
    <row r="152" spans="1:9" ht="93.75">
      <c r="A152" s="291"/>
      <c r="B152" s="304" t="s">
        <v>69</v>
      </c>
      <c r="C152" s="744" t="s">
        <v>72</v>
      </c>
      <c r="D152" s="745" t="s">
        <v>110</v>
      </c>
      <c r="E152" s="745" t="s">
        <v>59</v>
      </c>
      <c r="F152" s="746" t="s">
        <v>112</v>
      </c>
      <c r="G152" s="150" t="s">
        <v>70</v>
      </c>
      <c r="H152" s="305">
        <f>'прил13(ведом 22-23)'!M460</f>
        <v>17673</v>
      </c>
      <c r="I152" s="305">
        <f>'прил13(ведом 22-23)'!N460</f>
        <v>17673</v>
      </c>
    </row>
    <row r="153" spans="1:9" ht="37.5">
      <c r="A153" s="291"/>
      <c r="B153" s="304" t="s">
        <v>75</v>
      </c>
      <c r="C153" s="744" t="s">
        <v>72</v>
      </c>
      <c r="D153" s="745" t="s">
        <v>110</v>
      </c>
      <c r="E153" s="745" t="s">
        <v>59</v>
      </c>
      <c r="F153" s="746" t="s">
        <v>112</v>
      </c>
      <c r="G153" s="150" t="s">
        <v>76</v>
      </c>
      <c r="H153" s="305">
        <f>'прил13(ведом 22-23)'!M461</f>
        <v>425.8</v>
      </c>
      <c r="I153" s="305">
        <f>'прил13(ведом 22-23)'!N461</f>
        <v>427.8</v>
      </c>
    </row>
    <row r="154" spans="1:9" ht="18.75">
      <c r="A154" s="291"/>
      <c r="B154" s="304" t="s">
        <v>77</v>
      </c>
      <c r="C154" s="744" t="s">
        <v>72</v>
      </c>
      <c r="D154" s="745" t="s">
        <v>110</v>
      </c>
      <c r="E154" s="745" t="s">
        <v>59</v>
      </c>
      <c r="F154" s="746" t="s">
        <v>112</v>
      </c>
      <c r="G154" s="150" t="s">
        <v>78</v>
      </c>
      <c r="H154" s="305">
        <f>'прил13(ведом 22-23)'!M462</f>
        <v>59.9</v>
      </c>
      <c r="I154" s="305">
        <f>'прил13(ведом 22-23)'!N462</f>
        <v>57.9</v>
      </c>
    </row>
    <row r="155" spans="1:9" ht="168" customHeight="1">
      <c r="A155" s="291"/>
      <c r="B155" s="164" t="s">
        <v>696</v>
      </c>
      <c r="C155" s="744" t="s">
        <v>72</v>
      </c>
      <c r="D155" s="745" t="s">
        <v>110</v>
      </c>
      <c r="E155" s="745" t="s">
        <v>59</v>
      </c>
      <c r="F155" s="746" t="s">
        <v>538</v>
      </c>
      <c r="G155" s="150"/>
      <c r="H155" s="305">
        <f>H156</f>
        <v>125</v>
      </c>
      <c r="I155" s="305">
        <f>I156</f>
        <v>125</v>
      </c>
    </row>
    <row r="156" spans="1:9" ht="93.75">
      <c r="A156" s="291"/>
      <c r="B156" s="164" t="s">
        <v>69</v>
      </c>
      <c r="C156" s="744" t="s">
        <v>72</v>
      </c>
      <c r="D156" s="745" t="s">
        <v>110</v>
      </c>
      <c r="E156" s="745" t="s">
        <v>59</v>
      </c>
      <c r="F156" s="746" t="s">
        <v>538</v>
      </c>
      <c r="G156" s="150" t="s">
        <v>70</v>
      </c>
      <c r="H156" s="305">
        <f>'прил13(ведом 22-23)'!M464</f>
        <v>125</v>
      </c>
      <c r="I156" s="305">
        <f>'прил13(ведом 22-23)'!N464</f>
        <v>125</v>
      </c>
    </row>
    <row r="157" spans="1:9" ht="56.25">
      <c r="A157" s="291"/>
      <c r="B157" s="164" t="s">
        <v>731</v>
      </c>
      <c r="C157" s="744" t="s">
        <v>72</v>
      </c>
      <c r="D157" s="745" t="s">
        <v>110</v>
      </c>
      <c r="E157" s="745" t="s">
        <v>59</v>
      </c>
      <c r="F157" s="746" t="s">
        <v>584</v>
      </c>
      <c r="G157" s="150"/>
      <c r="H157" s="305">
        <f>H158</f>
        <v>852.9</v>
      </c>
      <c r="I157" s="305">
        <f>I158</f>
        <v>0</v>
      </c>
    </row>
    <row r="158" spans="1:9" ht="93.75">
      <c r="A158" s="291"/>
      <c r="B158" s="164" t="s">
        <v>69</v>
      </c>
      <c r="C158" s="744" t="s">
        <v>72</v>
      </c>
      <c r="D158" s="745" t="s">
        <v>110</v>
      </c>
      <c r="E158" s="745" t="s">
        <v>59</v>
      </c>
      <c r="F158" s="746" t="s">
        <v>584</v>
      </c>
      <c r="G158" s="150" t="s">
        <v>70</v>
      </c>
      <c r="H158" s="305">
        <f>'прил13(ведом 22-23)'!M466</f>
        <v>852.9</v>
      </c>
      <c r="I158" s="305">
        <f>'прил13(ведом 22-23)'!N466</f>
        <v>0</v>
      </c>
    </row>
    <row r="159" spans="1:9" ht="37.5">
      <c r="A159" s="291"/>
      <c r="B159" s="596" t="s">
        <v>428</v>
      </c>
      <c r="C159" s="580" t="s">
        <v>72</v>
      </c>
      <c r="D159" s="581" t="s">
        <v>110</v>
      </c>
      <c r="E159" s="581" t="s">
        <v>84</v>
      </c>
      <c r="F159" s="582" t="s">
        <v>64</v>
      </c>
      <c r="G159" s="181"/>
      <c r="H159" s="305">
        <f>H160</f>
        <v>35.299999999999997</v>
      </c>
      <c r="I159" s="305">
        <f>I160</f>
        <v>35.299999999999997</v>
      </c>
    </row>
    <row r="160" spans="1:9" ht="56.25">
      <c r="A160" s="291"/>
      <c r="B160" s="596" t="s">
        <v>429</v>
      </c>
      <c r="C160" s="580" t="s">
        <v>72</v>
      </c>
      <c r="D160" s="581" t="s">
        <v>110</v>
      </c>
      <c r="E160" s="581" t="s">
        <v>84</v>
      </c>
      <c r="F160" s="582" t="s">
        <v>126</v>
      </c>
      <c r="G160" s="181"/>
      <c r="H160" s="305">
        <f>H161</f>
        <v>35.299999999999997</v>
      </c>
      <c r="I160" s="305">
        <f>I161</f>
        <v>35.299999999999997</v>
      </c>
    </row>
    <row r="161" spans="1:9" ht="37.5">
      <c r="A161" s="291"/>
      <c r="B161" s="599" t="s">
        <v>75</v>
      </c>
      <c r="C161" s="580" t="s">
        <v>72</v>
      </c>
      <c r="D161" s="581" t="s">
        <v>110</v>
      </c>
      <c r="E161" s="581" t="s">
        <v>84</v>
      </c>
      <c r="F161" s="582" t="s">
        <v>126</v>
      </c>
      <c r="G161" s="181" t="s">
        <v>76</v>
      </c>
      <c r="H161" s="305">
        <f>'прил13(ведом 22-23)'!M449</f>
        <v>35.299999999999997</v>
      </c>
      <c r="I161" s="305">
        <f>'прил13(ведом 22-23)'!N449</f>
        <v>35.299999999999997</v>
      </c>
    </row>
    <row r="162" spans="1:9" ht="18.75">
      <c r="A162" s="291"/>
      <c r="B162" s="313"/>
      <c r="C162" s="738"/>
      <c r="D162" s="739"/>
      <c r="E162" s="739"/>
      <c r="F162" s="740"/>
      <c r="G162" s="289"/>
      <c r="H162" s="305"/>
      <c r="I162" s="305"/>
    </row>
    <row r="163" spans="1:9" s="303" customFormat="1" ht="56.25">
      <c r="A163" s="314">
        <v>4</v>
      </c>
      <c r="B163" s="298" t="s">
        <v>243</v>
      </c>
      <c r="C163" s="299" t="s">
        <v>86</v>
      </c>
      <c r="D163" s="299" t="s">
        <v>62</v>
      </c>
      <c r="E163" s="299" t="s">
        <v>63</v>
      </c>
      <c r="F163" s="300" t="s">
        <v>64</v>
      </c>
      <c r="G163" s="301"/>
      <c r="H163" s="302">
        <f>H164+H170</f>
        <v>6151.9</v>
      </c>
      <c r="I163" s="302">
        <f>I164+I170</f>
        <v>6157.2</v>
      </c>
    </row>
    <row r="164" spans="1:9" s="303" customFormat="1" ht="18.75">
      <c r="A164" s="291"/>
      <c r="B164" s="304" t="s">
        <v>244</v>
      </c>
      <c r="C164" s="744" t="s">
        <v>86</v>
      </c>
      <c r="D164" s="745" t="s">
        <v>65</v>
      </c>
      <c r="E164" s="745" t="s">
        <v>63</v>
      </c>
      <c r="F164" s="746" t="s">
        <v>64</v>
      </c>
      <c r="G164" s="289"/>
      <c r="H164" s="305">
        <f t="shared" ref="H164:I165" si="2">H165</f>
        <v>3048.2</v>
      </c>
      <c r="I164" s="305">
        <f t="shared" si="2"/>
        <v>3048.2</v>
      </c>
    </row>
    <row r="165" spans="1:9" s="303" customFormat="1" ht="75">
      <c r="A165" s="291"/>
      <c r="B165" s="304" t="s">
        <v>328</v>
      </c>
      <c r="C165" s="744" t="s">
        <v>86</v>
      </c>
      <c r="D165" s="745" t="s">
        <v>65</v>
      </c>
      <c r="E165" s="745" t="s">
        <v>57</v>
      </c>
      <c r="F165" s="746" t="s">
        <v>64</v>
      </c>
      <c r="G165" s="150"/>
      <c r="H165" s="305">
        <f t="shared" si="2"/>
        <v>3048.2</v>
      </c>
      <c r="I165" s="305">
        <f t="shared" si="2"/>
        <v>3048.2</v>
      </c>
    </row>
    <row r="166" spans="1:9" ht="37.5">
      <c r="A166" s="291"/>
      <c r="B166" s="304" t="s">
        <v>800</v>
      </c>
      <c r="C166" s="744" t="s">
        <v>86</v>
      </c>
      <c r="D166" s="745" t="s">
        <v>65</v>
      </c>
      <c r="E166" s="745" t="s">
        <v>57</v>
      </c>
      <c r="F166" s="746" t="s">
        <v>112</v>
      </c>
      <c r="G166" s="150"/>
      <c r="H166" s="305">
        <f>SUM(H167:H169)</f>
        <v>3048.2</v>
      </c>
      <c r="I166" s="305">
        <f>SUM(I167:I169)</f>
        <v>3048.2</v>
      </c>
    </row>
    <row r="167" spans="1:9" ht="93.75">
      <c r="A167" s="291"/>
      <c r="B167" s="304" t="s">
        <v>69</v>
      </c>
      <c r="C167" s="744" t="s">
        <v>86</v>
      </c>
      <c r="D167" s="745" t="s">
        <v>65</v>
      </c>
      <c r="E167" s="745" t="s">
        <v>57</v>
      </c>
      <c r="F167" s="746" t="s">
        <v>112</v>
      </c>
      <c r="G167" s="150" t="s">
        <v>70</v>
      </c>
      <c r="H167" s="305">
        <f>'прил13(ведом 22-23)'!M502</f>
        <v>2667.4</v>
      </c>
      <c r="I167" s="305">
        <f>'прил13(ведом 22-23)'!N502</f>
        <v>2667.4</v>
      </c>
    </row>
    <row r="168" spans="1:9" ht="37.5">
      <c r="A168" s="291"/>
      <c r="B168" s="164" t="s">
        <v>75</v>
      </c>
      <c r="C168" s="744" t="s">
        <v>86</v>
      </c>
      <c r="D168" s="745" t="s">
        <v>65</v>
      </c>
      <c r="E168" s="745" t="s">
        <v>57</v>
      </c>
      <c r="F168" s="746" t="s">
        <v>112</v>
      </c>
      <c r="G168" s="150" t="s">
        <v>76</v>
      </c>
      <c r="H168" s="305">
        <f>'прил13(ведом 22-23)'!M503</f>
        <v>378.1</v>
      </c>
      <c r="I168" s="305">
        <f>'прил13(ведом 22-23)'!N503</f>
        <v>378.1</v>
      </c>
    </row>
    <row r="169" spans="1:9" ht="18.75">
      <c r="A169" s="291"/>
      <c r="B169" s="164" t="s">
        <v>77</v>
      </c>
      <c r="C169" s="744" t="s">
        <v>86</v>
      </c>
      <c r="D169" s="745" t="s">
        <v>65</v>
      </c>
      <c r="E169" s="745" t="s">
        <v>57</v>
      </c>
      <c r="F169" s="746" t="s">
        <v>112</v>
      </c>
      <c r="G169" s="150" t="s">
        <v>78</v>
      </c>
      <c r="H169" s="305">
        <f>'прил13(ведом 22-23)'!M504</f>
        <v>2.7</v>
      </c>
      <c r="I169" s="305">
        <f>'прил13(ведом 22-23)'!N504</f>
        <v>2.7</v>
      </c>
    </row>
    <row r="170" spans="1:9" s="303" customFormat="1" ht="22.5" customHeight="1">
      <c r="A170" s="291"/>
      <c r="B170" s="304" t="s">
        <v>242</v>
      </c>
      <c r="C170" s="744" t="s">
        <v>86</v>
      </c>
      <c r="D170" s="745" t="s">
        <v>110</v>
      </c>
      <c r="E170" s="745" t="s">
        <v>63</v>
      </c>
      <c r="F170" s="746" t="s">
        <v>64</v>
      </c>
      <c r="G170" s="150"/>
      <c r="H170" s="305">
        <f>H171+H176+H179+H182</f>
        <v>3103.7</v>
      </c>
      <c r="I170" s="305">
        <f>I171+I176+I179+I182</f>
        <v>3109</v>
      </c>
    </row>
    <row r="171" spans="1:9" s="303" customFormat="1" ht="37.5">
      <c r="A171" s="291"/>
      <c r="B171" s="304" t="s">
        <v>322</v>
      </c>
      <c r="C171" s="744" t="s">
        <v>86</v>
      </c>
      <c r="D171" s="745" t="s">
        <v>110</v>
      </c>
      <c r="E171" s="745" t="s">
        <v>57</v>
      </c>
      <c r="F171" s="746" t="s">
        <v>64</v>
      </c>
      <c r="G171" s="150"/>
      <c r="H171" s="305">
        <f>H172</f>
        <v>2981.2999999999997</v>
      </c>
      <c r="I171" s="305">
        <f>I172</f>
        <v>2986.6</v>
      </c>
    </row>
    <row r="172" spans="1:9" s="303" customFormat="1" ht="37.5">
      <c r="A172" s="291"/>
      <c r="B172" s="304" t="s">
        <v>67</v>
      </c>
      <c r="C172" s="744" t="s">
        <v>86</v>
      </c>
      <c r="D172" s="745" t="s">
        <v>110</v>
      </c>
      <c r="E172" s="745" t="s">
        <v>57</v>
      </c>
      <c r="F172" s="746" t="s">
        <v>68</v>
      </c>
      <c r="G172" s="150"/>
      <c r="H172" s="305">
        <f>SUM(H173:H175)</f>
        <v>2981.2999999999997</v>
      </c>
      <c r="I172" s="305">
        <f>SUM(I173:I175)</f>
        <v>2986.6</v>
      </c>
    </row>
    <row r="173" spans="1:9" s="303" customFormat="1" ht="93.75">
      <c r="A173" s="291"/>
      <c r="B173" s="304" t="s">
        <v>69</v>
      </c>
      <c r="C173" s="744" t="s">
        <v>86</v>
      </c>
      <c r="D173" s="745" t="s">
        <v>110</v>
      </c>
      <c r="E173" s="745" t="s">
        <v>57</v>
      </c>
      <c r="F173" s="746" t="s">
        <v>68</v>
      </c>
      <c r="G173" s="150" t="s">
        <v>70</v>
      </c>
      <c r="H173" s="305">
        <f>'прил13(ведом 22-23)'!M510</f>
        <v>2735.5</v>
      </c>
      <c r="I173" s="305">
        <f>'прил13(ведом 22-23)'!N510</f>
        <v>2735.5</v>
      </c>
    </row>
    <row r="174" spans="1:9" ht="37.5">
      <c r="A174" s="291"/>
      <c r="B174" s="304" t="s">
        <v>75</v>
      </c>
      <c r="C174" s="744" t="s">
        <v>86</v>
      </c>
      <c r="D174" s="745" t="s">
        <v>110</v>
      </c>
      <c r="E174" s="745" t="s">
        <v>57</v>
      </c>
      <c r="F174" s="746" t="s">
        <v>68</v>
      </c>
      <c r="G174" s="150" t="s">
        <v>76</v>
      </c>
      <c r="H174" s="305">
        <f>'прил13(ведом 22-23)'!M511</f>
        <v>244.6</v>
      </c>
      <c r="I174" s="305">
        <f>'прил13(ведом 22-23)'!N511</f>
        <v>249.9</v>
      </c>
    </row>
    <row r="175" spans="1:9" ht="18.75">
      <c r="A175" s="291"/>
      <c r="B175" s="304" t="s">
        <v>77</v>
      </c>
      <c r="C175" s="744" t="s">
        <v>86</v>
      </c>
      <c r="D175" s="745" t="s">
        <v>110</v>
      </c>
      <c r="E175" s="745" t="s">
        <v>57</v>
      </c>
      <c r="F175" s="746" t="s">
        <v>68</v>
      </c>
      <c r="G175" s="150" t="s">
        <v>78</v>
      </c>
      <c r="H175" s="305">
        <f>'прил13(ведом 22-23)'!M512</f>
        <v>1.2</v>
      </c>
      <c r="I175" s="305">
        <f>'прил13(ведом 22-23)'!N512</f>
        <v>1.2</v>
      </c>
    </row>
    <row r="176" spans="1:9" ht="37.5">
      <c r="A176" s="291"/>
      <c r="B176" s="660" t="s">
        <v>428</v>
      </c>
      <c r="C176" s="745" t="s">
        <v>86</v>
      </c>
      <c r="D176" s="745" t="s">
        <v>110</v>
      </c>
      <c r="E176" s="745" t="s">
        <v>59</v>
      </c>
      <c r="F176" s="746" t="s">
        <v>64</v>
      </c>
      <c r="G176" s="150"/>
      <c r="H176" s="305">
        <f>H177</f>
        <v>65.099999999999994</v>
      </c>
      <c r="I176" s="305">
        <f>I177</f>
        <v>65.099999999999994</v>
      </c>
    </row>
    <row r="177" spans="1:9" ht="56.25">
      <c r="A177" s="291"/>
      <c r="B177" s="660" t="s">
        <v>429</v>
      </c>
      <c r="C177" s="744" t="s">
        <v>86</v>
      </c>
      <c r="D177" s="745" t="s">
        <v>110</v>
      </c>
      <c r="E177" s="745" t="s">
        <v>59</v>
      </c>
      <c r="F177" s="746" t="s">
        <v>126</v>
      </c>
      <c r="G177" s="150"/>
      <c r="H177" s="305">
        <f>H178</f>
        <v>65.099999999999994</v>
      </c>
      <c r="I177" s="305">
        <f>I178</f>
        <v>65.099999999999994</v>
      </c>
    </row>
    <row r="178" spans="1:9" ht="37.5">
      <c r="A178" s="291"/>
      <c r="B178" s="660" t="s">
        <v>75</v>
      </c>
      <c r="C178" s="744" t="s">
        <v>86</v>
      </c>
      <c r="D178" s="745" t="s">
        <v>110</v>
      </c>
      <c r="E178" s="745" t="s">
        <v>59</v>
      </c>
      <c r="F178" s="746" t="s">
        <v>126</v>
      </c>
      <c r="G178" s="150" t="s">
        <v>76</v>
      </c>
      <c r="H178" s="305">
        <f>'прил13(ведом 22-23)'!M489</f>
        <v>65.099999999999994</v>
      </c>
      <c r="I178" s="305">
        <f>'прил13(ведом 22-23)'!N489</f>
        <v>65.099999999999994</v>
      </c>
    </row>
    <row r="179" spans="1:9" ht="37.5">
      <c r="A179" s="291"/>
      <c r="B179" s="164" t="s">
        <v>804</v>
      </c>
      <c r="C179" s="745" t="s">
        <v>86</v>
      </c>
      <c r="D179" s="745" t="s">
        <v>110</v>
      </c>
      <c r="E179" s="745" t="s">
        <v>84</v>
      </c>
      <c r="F179" s="746" t="s">
        <v>64</v>
      </c>
      <c r="G179" s="150"/>
      <c r="H179" s="305">
        <f>H180</f>
        <v>14.8</v>
      </c>
      <c r="I179" s="305">
        <f>I180</f>
        <v>14.8</v>
      </c>
    </row>
    <row r="180" spans="1:9" ht="18.75">
      <c r="A180" s="291"/>
      <c r="B180" s="164" t="s">
        <v>802</v>
      </c>
      <c r="C180" s="745" t="s">
        <v>86</v>
      </c>
      <c r="D180" s="745" t="s">
        <v>110</v>
      </c>
      <c r="E180" s="745" t="s">
        <v>84</v>
      </c>
      <c r="F180" s="746" t="s">
        <v>803</v>
      </c>
      <c r="G180" s="150"/>
      <c r="H180" s="305">
        <f>H181</f>
        <v>14.8</v>
      </c>
      <c r="I180" s="305">
        <f>I181</f>
        <v>14.8</v>
      </c>
    </row>
    <row r="181" spans="1:9" ht="37.5">
      <c r="A181" s="291"/>
      <c r="B181" s="660" t="s">
        <v>75</v>
      </c>
      <c r="C181" s="745" t="s">
        <v>86</v>
      </c>
      <c r="D181" s="745" t="s">
        <v>110</v>
      </c>
      <c r="E181" s="745" t="s">
        <v>84</v>
      </c>
      <c r="F181" s="746" t="s">
        <v>803</v>
      </c>
      <c r="G181" s="150" t="s">
        <v>76</v>
      </c>
      <c r="H181" s="305">
        <f>'прил13(ведом 22-23)'!M492</f>
        <v>14.8</v>
      </c>
      <c r="I181" s="305">
        <f>'прил13(ведом 22-23)'!N492</f>
        <v>14.8</v>
      </c>
    </row>
    <row r="182" spans="1:9" ht="37.5">
      <c r="A182" s="291"/>
      <c r="B182" s="660" t="s">
        <v>818</v>
      </c>
      <c r="C182" s="745" t="s">
        <v>86</v>
      </c>
      <c r="D182" s="745" t="s">
        <v>110</v>
      </c>
      <c r="E182" s="745" t="s">
        <v>72</v>
      </c>
      <c r="F182" s="740" t="s">
        <v>64</v>
      </c>
      <c r="G182" s="289"/>
      <c r="H182" s="305">
        <f>H183</f>
        <v>42.5</v>
      </c>
      <c r="I182" s="305">
        <f>I183</f>
        <v>42.5</v>
      </c>
    </row>
    <row r="183" spans="1:9" ht="37.5">
      <c r="A183" s="291"/>
      <c r="B183" s="592" t="s">
        <v>148</v>
      </c>
      <c r="C183" s="745" t="s">
        <v>86</v>
      </c>
      <c r="D183" s="745" t="s">
        <v>110</v>
      </c>
      <c r="E183" s="745" t="s">
        <v>72</v>
      </c>
      <c r="F183" s="593" t="s">
        <v>111</v>
      </c>
      <c r="G183" s="289"/>
      <c r="H183" s="305">
        <f>H184</f>
        <v>42.5</v>
      </c>
      <c r="I183" s="305">
        <f>I184</f>
        <v>42.5</v>
      </c>
    </row>
    <row r="184" spans="1:9" ht="37.5">
      <c r="A184" s="291"/>
      <c r="B184" s="660" t="s">
        <v>75</v>
      </c>
      <c r="C184" s="745" t="s">
        <v>86</v>
      </c>
      <c r="D184" s="745" t="s">
        <v>110</v>
      </c>
      <c r="E184" s="745" t="s">
        <v>72</v>
      </c>
      <c r="F184" s="740" t="s">
        <v>111</v>
      </c>
      <c r="G184" s="289" t="s">
        <v>76</v>
      </c>
      <c r="H184" s="305">
        <f>'прил13(ведом 22-23)'!M495</f>
        <v>42.5</v>
      </c>
      <c r="I184" s="305">
        <f>'прил13(ведом 22-23)'!N495</f>
        <v>42.5</v>
      </c>
    </row>
    <row r="185" spans="1:9" ht="18.75">
      <c r="A185" s="291"/>
      <c r="B185" s="304"/>
      <c r="C185" s="745"/>
      <c r="D185" s="745"/>
      <c r="E185" s="745"/>
      <c r="F185" s="746"/>
      <c r="G185" s="150"/>
      <c r="H185" s="305"/>
      <c r="I185" s="305"/>
    </row>
    <row r="186" spans="1:9" s="303" customFormat="1" ht="56.25">
      <c r="A186" s="314">
        <v>5</v>
      </c>
      <c r="B186" s="298" t="s">
        <v>101</v>
      </c>
      <c r="C186" s="315" t="s">
        <v>102</v>
      </c>
      <c r="D186" s="315" t="s">
        <v>62</v>
      </c>
      <c r="E186" s="315" t="s">
        <v>63</v>
      </c>
      <c r="F186" s="316" t="s">
        <v>64</v>
      </c>
      <c r="G186" s="301"/>
      <c r="H186" s="302">
        <f>H205+H187+H195</f>
        <v>21118.100000000002</v>
      </c>
      <c r="I186" s="302">
        <f>I205+I187+I195</f>
        <v>13748.300000000001</v>
      </c>
    </row>
    <row r="187" spans="1:9" ht="56.25">
      <c r="A187" s="291"/>
      <c r="B187" s="317" t="s">
        <v>103</v>
      </c>
      <c r="C187" s="744" t="s">
        <v>102</v>
      </c>
      <c r="D187" s="745" t="s">
        <v>65</v>
      </c>
      <c r="E187" s="745" t="s">
        <v>63</v>
      </c>
      <c r="F187" s="746" t="s">
        <v>64</v>
      </c>
      <c r="G187" s="289"/>
      <c r="H187" s="305">
        <f t="shared" ref="H187:I187" si="3">H188</f>
        <v>3437.6000000000004</v>
      </c>
      <c r="I187" s="305">
        <f t="shared" si="3"/>
        <v>3437.6000000000004</v>
      </c>
    </row>
    <row r="188" spans="1:9" ht="75">
      <c r="A188" s="291"/>
      <c r="B188" s="304" t="s">
        <v>104</v>
      </c>
      <c r="C188" s="744" t="s">
        <v>102</v>
      </c>
      <c r="D188" s="745" t="s">
        <v>65</v>
      </c>
      <c r="E188" s="745" t="s">
        <v>57</v>
      </c>
      <c r="F188" s="746" t="s">
        <v>64</v>
      </c>
      <c r="G188" s="150"/>
      <c r="H188" s="305">
        <f>H193+H189+H191</f>
        <v>3437.6000000000004</v>
      </c>
      <c r="I188" s="305">
        <f>I193+I189+I191</f>
        <v>3437.6000000000004</v>
      </c>
    </row>
    <row r="189" spans="1:9" ht="37.5">
      <c r="A189" s="291"/>
      <c r="B189" s="170" t="s">
        <v>759</v>
      </c>
      <c r="C189" s="744" t="s">
        <v>102</v>
      </c>
      <c r="D189" s="745" t="s">
        <v>65</v>
      </c>
      <c r="E189" s="745" t="s">
        <v>57</v>
      </c>
      <c r="F189" s="746" t="s">
        <v>105</v>
      </c>
      <c r="G189" s="150"/>
      <c r="H189" s="305">
        <f>H190</f>
        <v>298.39999999999998</v>
      </c>
      <c r="I189" s="305">
        <f>I190</f>
        <v>298.39999999999998</v>
      </c>
    </row>
    <row r="190" spans="1:9" ht="37.5">
      <c r="A190" s="291"/>
      <c r="B190" s="164" t="s">
        <v>75</v>
      </c>
      <c r="C190" s="744" t="s">
        <v>102</v>
      </c>
      <c r="D190" s="745" t="s">
        <v>65</v>
      </c>
      <c r="E190" s="745" t="s">
        <v>57</v>
      </c>
      <c r="F190" s="746" t="s">
        <v>105</v>
      </c>
      <c r="G190" s="150" t="s">
        <v>76</v>
      </c>
      <c r="H190" s="305">
        <f>'прил13(ведом 22-23)'!M88</f>
        <v>298.39999999999998</v>
      </c>
      <c r="I190" s="305">
        <f>'прил13(ведом 22-23)'!N88</f>
        <v>298.39999999999998</v>
      </c>
    </row>
    <row r="191" spans="1:9" ht="42" customHeight="1">
      <c r="A191" s="291"/>
      <c r="B191" s="164" t="s">
        <v>106</v>
      </c>
      <c r="C191" s="744" t="s">
        <v>102</v>
      </c>
      <c r="D191" s="745" t="s">
        <v>65</v>
      </c>
      <c r="E191" s="745" t="s">
        <v>57</v>
      </c>
      <c r="F191" s="746" t="s">
        <v>107</v>
      </c>
      <c r="G191" s="150"/>
      <c r="H191" s="305">
        <f>H192</f>
        <v>63.9</v>
      </c>
      <c r="I191" s="305">
        <f>I192</f>
        <v>63.9</v>
      </c>
    </row>
    <row r="192" spans="1:9" ht="37.5">
      <c r="A192" s="291"/>
      <c r="B192" s="164" t="s">
        <v>75</v>
      </c>
      <c r="C192" s="744" t="s">
        <v>102</v>
      </c>
      <c r="D192" s="745" t="s">
        <v>65</v>
      </c>
      <c r="E192" s="745" t="s">
        <v>57</v>
      </c>
      <c r="F192" s="746" t="s">
        <v>107</v>
      </c>
      <c r="G192" s="150" t="s">
        <v>76</v>
      </c>
      <c r="H192" s="305">
        <f>'прил13(ведом 22-23)'!M90</f>
        <v>63.9</v>
      </c>
      <c r="I192" s="305">
        <f>'прил13(ведом 22-23)'!N90</f>
        <v>63.9</v>
      </c>
    </row>
    <row r="193" spans="1:9" ht="93.75">
      <c r="A193" s="291"/>
      <c r="B193" s="304" t="s">
        <v>405</v>
      </c>
      <c r="C193" s="744" t="s">
        <v>102</v>
      </c>
      <c r="D193" s="745" t="s">
        <v>65</v>
      </c>
      <c r="E193" s="745" t="s">
        <v>57</v>
      </c>
      <c r="F193" s="746" t="s">
        <v>393</v>
      </c>
      <c r="G193" s="150"/>
      <c r="H193" s="305">
        <f>H194</f>
        <v>3075.3</v>
      </c>
      <c r="I193" s="305">
        <f>I194</f>
        <v>3075.3</v>
      </c>
    </row>
    <row r="194" spans="1:9" ht="18.75">
      <c r="A194" s="291"/>
      <c r="B194" s="304" t="s">
        <v>144</v>
      </c>
      <c r="C194" s="744" t="s">
        <v>102</v>
      </c>
      <c r="D194" s="745" t="s">
        <v>65</v>
      </c>
      <c r="E194" s="745" t="s">
        <v>57</v>
      </c>
      <c r="F194" s="746" t="s">
        <v>393</v>
      </c>
      <c r="G194" s="150" t="s">
        <v>145</v>
      </c>
      <c r="H194" s="305">
        <f>'прил13(ведом 22-23)'!M92</f>
        <v>3075.3</v>
      </c>
      <c r="I194" s="305">
        <f>'прил13(ведом 22-23)'!N92</f>
        <v>3075.3</v>
      </c>
    </row>
    <row r="195" spans="1:9" ht="37.5">
      <c r="A195" s="291"/>
      <c r="B195" s="328" t="s">
        <v>146</v>
      </c>
      <c r="C195" s="744" t="s">
        <v>102</v>
      </c>
      <c r="D195" s="745" t="s">
        <v>110</v>
      </c>
      <c r="E195" s="745" t="s">
        <v>63</v>
      </c>
      <c r="F195" s="746" t="s">
        <v>64</v>
      </c>
      <c r="G195" s="289"/>
      <c r="H195" s="305">
        <f>H196+H202</f>
        <v>8832.4000000000015</v>
      </c>
      <c r="I195" s="305">
        <f>I196+I202</f>
        <v>1462.2</v>
      </c>
    </row>
    <row r="196" spans="1:9" ht="37.5">
      <c r="A196" s="291"/>
      <c r="B196" s="164" t="s">
        <v>311</v>
      </c>
      <c r="C196" s="744" t="s">
        <v>102</v>
      </c>
      <c r="D196" s="745" t="s">
        <v>110</v>
      </c>
      <c r="E196" s="745" t="s">
        <v>57</v>
      </c>
      <c r="F196" s="746" t="s">
        <v>64</v>
      </c>
      <c r="G196" s="150"/>
      <c r="H196" s="305">
        <f>H199+H197</f>
        <v>8591.7000000000007</v>
      </c>
      <c r="I196" s="305">
        <f>I199+I197</f>
        <v>1221.5</v>
      </c>
    </row>
    <row r="197" spans="1:9" ht="37.5">
      <c r="A197" s="291"/>
      <c r="B197" s="167" t="s">
        <v>148</v>
      </c>
      <c r="C197" s="744" t="s">
        <v>102</v>
      </c>
      <c r="D197" s="745" t="s">
        <v>110</v>
      </c>
      <c r="E197" s="745" t="s">
        <v>57</v>
      </c>
      <c r="F197" s="746" t="s">
        <v>111</v>
      </c>
      <c r="G197" s="150"/>
      <c r="H197" s="305">
        <f>H198</f>
        <v>21.6</v>
      </c>
      <c r="I197" s="305">
        <f>I198</f>
        <v>21.6</v>
      </c>
    </row>
    <row r="198" spans="1:9" ht="37.5">
      <c r="A198" s="291"/>
      <c r="B198" s="164" t="s">
        <v>75</v>
      </c>
      <c r="C198" s="744" t="s">
        <v>102</v>
      </c>
      <c r="D198" s="745" t="s">
        <v>110</v>
      </c>
      <c r="E198" s="745" t="s">
        <v>57</v>
      </c>
      <c r="F198" s="746" t="s">
        <v>111</v>
      </c>
      <c r="G198" s="150" t="s">
        <v>76</v>
      </c>
      <c r="H198" s="305">
        <f>'прил13(ведом 22-23)'!M98</f>
        <v>21.6</v>
      </c>
      <c r="I198" s="305">
        <f>'прил13(ведом 22-23)'!N98</f>
        <v>21.6</v>
      </c>
    </row>
    <row r="199" spans="1:9" ht="18.75">
      <c r="A199" s="291"/>
      <c r="B199" s="164" t="s">
        <v>686</v>
      </c>
      <c r="C199" s="744" t="s">
        <v>102</v>
      </c>
      <c r="D199" s="745" t="s">
        <v>110</v>
      </c>
      <c r="E199" s="745" t="s">
        <v>57</v>
      </c>
      <c r="F199" s="746" t="s">
        <v>687</v>
      </c>
      <c r="G199" s="150"/>
      <c r="H199" s="305">
        <f>H200+H201</f>
        <v>8570.1</v>
      </c>
      <c r="I199" s="305">
        <f>I200+I201</f>
        <v>1199.9000000000001</v>
      </c>
    </row>
    <row r="200" spans="1:9" ht="37.5">
      <c r="A200" s="291"/>
      <c r="B200" s="164" t="s">
        <v>75</v>
      </c>
      <c r="C200" s="744" t="s">
        <v>102</v>
      </c>
      <c r="D200" s="745" t="s">
        <v>110</v>
      </c>
      <c r="E200" s="745" t="s">
        <v>57</v>
      </c>
      <c r="F200" s="746" t="s">
        <v>687</v>
      </c>
      <c r="G200" s="150" t="s">
        <v>76</v>
      </c>
      <c r="H200" s="305">
        <f>'прил13(ведом 22-23)'!M334+'прил13(ведом 22-23)'!M355</f>
        <v>905.2</v>
      </c>
      <c r="I200" s="305">
        <f>'прил13(ведом 22-23)'!N334+'прил13(ведом 22-23)'!N355</f>
        <v>571.6</v>
      </c>
    </row>
    <row r="201" spans="1:9" ht="45" customHeight="1">
      <c r="A201" s="291"/>
      <c r="B201" s="164" t="s">
        <v>97</v>
      </c>
      <c r="C201" s="744" t="s">
        <v>102</v>
      </c>
      <c r="D201" s="745" t="s">
        <v>110</v>
      </c>
      <c r="E201" s="745" t="s">
        <v>57</v>
      </c>
      <c r="F201" s="746" t="s">
        <v>687</v>
      </c>
      <c r="G201" s="150" t="s">
        <v>98</v>
      </c>
      <c r="H201" s="305">
        <f>'прил13(ведом 22-23)'!M295+'прил13(ведом 22-23)'!M335</f>
        <v>7664.9</v>
      </c>
      <c r="I201" s="305">
        <f>'прил13(ведом 22-23)'!N295+'прил13(ведом 22-23)'!N335</f>
        <v>628.29999999999995</v>
      </c>
    </row>
    <row r="202" spans="1:9" ht="54.75" customHeight="1">
      <c r="A202" s="291"/>
      <c r="B202" s="167" t="s">
        <v>147</v>
      </c>
      <c r="C202" s="744" t="s">
        <v>102</v>
      </c>
      <c r="D202" s="745" t="s">
        <v>110</v>
      </c>
      <c r="E202" s="745" t="s">
        <v>59</v>
      </c>
      <c r="F202" s="746" t="s">
        <v>64</v>
      </c>
      <c r="G202" s="150"/>
      <c r="H202" s="305">
        <f>H203</f>
        <v>240.7</v>
      </c>
      <c r="I202" s="305">
        <f>I203</f>
        <v>240.7</v>
      </c>
    </row>
    <row r="203" spans="1:9" ht="36.75" customHeight="1">
      <c r="A203" s="291"/>
      <c r="B203" s="167" t="s">
        <v>148</v>
      </c>
      <c r="C203" s="744" t="s">
        <v>102</v>
      </c>
      <c r="D203" s="745" t="s">
        <v>110</v>
      </c>
      <c r="E203" s="745" t="s">
        <v>59</v>
      </c>
      <c r="F203" s="746" t="s">
        <v>111</v>
      </c>
      <c r="G203" s="150"/>
      <c r="H203" s="305">
        <f>H204</f>
        <v>240.7</v>
      </c>
      <c r="I203" s="305">
        <f>I204</f>
        <v>240.7</v>
      </c>
    </row>
    <row r="204" spans="1:9" ht="32.25" customHeight="1">
      <c r="A204" s="291"/>
      <c r="B204" s="164" t="s">
        <v>75</v>
      </c>
      <c r="C204" s="744" t="s">
        <v>102</v>
      </c>
      <c r="D204" s="745" t="s">
        <v>110</v>
      </c>
      <c r="E204" s="745" t="s">
        <v>59</v>
      </c>
      <c r="F204" s="746" t="s">
        <v>111</v>
      </c>
      <c r="G204" s="150" t="s">
        <v>76</v>
      </c>
      <c r="H204" s="305">
        <f>'прил13(ведом 22-23)'!M101</f>
        <v>240.7</v>
      </c>
      <c r="I204" s="305">
        <f>'прил13(ведом 22-23)'!N101</f>
        <v>240.7</v>
      </c>
    </row>
    <row r="205" spans="1:9" ht="56.25">
      <c r="A205" s="291"/>
      <c r="B205" s="169" t="s">
        <v>453</v>
      </c>
      <c r="C205" s="744" t="s">
        <v>102</v>
      </c>
      <c r="D205" s="745" t="s">
        <v>50</v>
      </c>
      <c r="E205" s="745" t="s">
        <v>63</v>
      </c>
      <c r="F205" s="746" t="s">
        <v>64</v>
      </c>
      <c r="G205" s="150"/>
      <c r="H205" s="305">
        <f>H206</f>
        <v>8848.1</v>
      </c>
      <c r="I205" s="305">
        <f>I206</f>
        <v>8848.5</v>
      </c>
    </row>
    <row r="206" spans="1:9" ht="57" customHeight="1">
      <c r="A206" s="291"/>
      <c r="B206" s="318" t="s">
        <v>386</v>
      </c>
      <c r="C206" s="744" t="s">
        <v>102</v>
      </c>
      <c r="D206" s="745" t="s">
        <v>50</v>
      </c>
      <c r="E206" s="745" t="s">
        <v>57</v>
      </c>
      <c r="F206" s="746" t="s">
        <v>64</v>
      </c>
      <c r="G206" s="150"/>
      <c r="H206" s="305">
        <f>H207</f>
        <v>8848.1</v>
      </c>
      <c r="I206" s="305">
        <f>I207</f>
        <v>8848.5</v>
      </c>
    </row>
    <row r="207" spans="1:9" ht="37.5">
      <c r="A207" s="291"/>
      <c r="B207" s="304" t="s">
        <v>800</v>
      </c>
      <c r="C207" s="744" t="s">
        <v>102</v>
      </c>
      <c r="D207" s="745" t="s">
        <v>50</v>
      </c>
      <c r="E207" s="745" t="s">
        <v>57</v>
      </c>
      <c r="F207" s="746" t="s">
        <v>112</v>
      </c>
      <c r="G207" s="150"/>
      <c r="H207" s="305">
        <f>SUM(H208:H210)</f>
        <v>8848.1</v>
      </c>
      <c r="I207" s="305">
        <f>SUM(I208:I210)</f>
        <v>8848.5</v>
      </c>
    </row>
    <row r="208" spans="1:9" s="303" customFormat="1" ht="93.75">
      <c r="A208" s="291"/>
      <c r="B208" s="304" t="s">
        <v>69</v>
      </c>
      <c r="C208" s="744" t="s">
        <v>102</v>
      </c>
      <c r="D208" s="745" t="s">
        <v>50</v>
      </c>
      <c r="E208" s="745" t="s">
        <v>57</v>
      </c>
      <c r="F208" s="746" t="s">
        <v>112</v>
      </c>
      <c r="G208" s="150" t="s">
        <v>70</v>
      </c>
      <c r="H208" s="305">
        <f>'прил13(ведом 22-23)'!M105</f>
        <v>7482.1</v>
      </c>
      <c r="I208" s="305">
        <f>'прил13(ведом 22-23)'!N105</f>
        <v>7482.1</v>
      </c>
    </row>
    <row r="209" spans="1:9" ht="37.5">
      <c r="A209" s="291"/>
      <c r="B209" s="304" t="s">
        <v>75</v>
      </c>
      <c r="C209" s="744" t="s">
        <v>102</v>
      </c>
      <c r="D209" s="745" t="s">
        <v>50</v>
      </c>
      <c r="E209" s="745" t="s">
        <v>57</v>
      </c>
      <c r="F209" s="746" t="s">
        <v>112</v>
      </c>
      <c r="G209" s="150" t="s">
        <v>76</v>
      </c>
      <c r="H209" s="305">
        <f>'прил13(ведом 22-23)'!M106</f>
        <v>1359.7</v>
      </c>
      <c r="I209" s="305">
        <f>'прил13(ведом 22-23)'!N106</f>
        <v>1360.1</v>
      </c>
    </row>
    <row r="210" spans="1:9" ht="18.75">
      <c r="A210" s="291"/>
      <c r="B210" s="164" t="s">
        <v>77</v>
      </c>
      <c r="C210" s="744" t="s">
        <v>102</v>
      </c>
      <c r="D210" s="745" t="s">
        <v>50</v>
      </c>
      <c r="E210" s="745" t="s">
        <v>57</v>
      </c>
      <c r="F210" s="746" t="s">
        <v>112</v>
      </c>
      <c r="G210" s="150" t="s">
        <v>78</v>
      </c>
      <c r="H210" s="305">
        <f>'прил13(ведом 22-23)'!M107</f>
        <v>6.3</v>
      </c>
      <c r="I210" s="305">
        <f>'прил13(ведом 22-23)'!N107</f>
        <v>6.3</v>
      </c>
    </row>
    <row r="211" spans="1:9" ht="18.75">
      <c r="A211" s="329"/>
      <c r="B211" s="306"/>
      <c r="C211" s="175"/>
      <c r="D211" s="739"/>
      <c r="E211" s="739"/>
      <c r="F211" s="740"/>
      <c r="G211" s="289"/>
      <c r="H211" s="305"/>
      <c r="I211" s="305"/>
    </row>
    <row r="212" spans="1:9" s="303" customFormat="1" ht="56.25">
      <c r="A212" s="314">
        <v>6</v>
      </c>
      <c r="B212" s="327" t="s">
        <v>245</v>
      </c>
      <c r="C212" s="299" t="s">
        <v>246</v>
      </c>
      <c r="D212" s="299" t="s">
        <v>62</v>
      </c>
      <c r="E212" s="299" t="s">
        <v>63</v>
      </c>
      <c r="F212" s="300" t="s">
        <v>64</v>
      </c>
      <c r="G212" s="301"/>
      <c r="H212" s="302">
        <f>H213</f>
        <v>33406.9</v>
      </c>
      <c r="I212" s="302">
        <f>I213</f>
        <v>33407.599999999999</v>
      </c>
    </row>
    <row r="213" spans="1:9" ht="27" customHeight="1">
      <c r="A213" s="291"/>
      <c r="B213" s="304" t="s">
        <v>404</v>
      </c>
      <c r="C213" s="172" t="s">
        <v>246</v>
      </c>
      <c r="D213" s="173" t="s">
        <v>65</v>
      </c>
      <c r="E213" s="745" t="s">
        <v>63</v>
      </c>
      <c r="F213" s="746" t="s">
        <v>64</v>
      </c>
      <c r="G213" s="150"/>
      <c r="H213" s="305">
        <f>H214+H219+H222+H225</f>
        <v>33406.9</v>
      </c>
      <c r="I213" s="305">
        <f>I214+I219+I222+I225</f>
        <v>33407.599999999999</v>
      </c>
    </row>
    <row r="214" spans="1:9" ht="44.25" customHeight="1">
      <c r="A214" s="291"/>
      <c r="B214" s="304" t="s">
        <v>355</v>
      </c>
      <c r="C214" s="172" t="s">
        <v>246</v>
      </c>
      <c r="D214" s="173" t="s">
        <v>65</v>
      </c>
      <c r="E214" s="745" t="s">
        <v>57</v>
      </c>
      <c r="F214" s="746" t="s">
        <v>64</v>
      </c>
      <c r="G214" s="150"/>
      <c r="H214" s="305">
        <f>H215</f>
        <v>25025.600000000002</v>
      </c>
      <c r="I214" s="305">
        <f>I215</f>
        <v>25026.3</v>
      </c>
    </row>
    <row r="215" spans="1:9" ht="37.5">
      <c r="A215" s="291"/>
      <c r="B215" s="304" t="s">
        <v>67</v>
      </c>
      <c r="C215" s="172" t="s">
        <v>246</v>
      </c>
      <c r="D215" s="173" t="s">
        <v>65</v>
      </c>
      <c r="E215" s="745" t="s">
        <v>57</v>
      </c>
      <c r="F215" s="746" t="s">
        <v>68</v>
      </c>
      <c r="G215" s="150"/>
      <c r="H215" s="305">
        <f>SUM(H216:H218)</f>
        <v>25025.600000000002</v>
      </c>
      <c r="I215" s="305">
        <f>SUM(I216:I218)</f>
        <v>25026.3</v>
      </c>
    </row>
    <row r="216" spans="1:9" ht="93.75">
      <c r="A216" s="291"/>
      <c r="B216" s="304" t="s">
        <v>69</v>
      </c>
      <c r="C216" s="172" t="s">
        <v>246</v>
      </c>
      <c r="D216" s="173" t="s">
        <v>65</v>
      </c>
      <c r="E216" s="745" t="s">
        <v>57</v>
      </c>
      <c r="F216" s="746" t="s">
        <v>68</v>
      </c>
      <c r="G216" s="150" t="s">
        <v>70</v>
      </c>
      <c r="H216" s="305">
        <f>'прил13(ведом 22-23)'!M184</f>
        <v>24258.5</v>
      </c>
      <c r="I216" s="305">
        <f>'прил13(ведом 22-23)'!N184</f>
        <v>24258.5</v>
      </c>
    </row>
    <row r="217" spans="1:9" ht="37.5">
      <c r="A217" s="291"/>
      <c r="B217" s="164" t="s">
        <v>75</v>
      </c>
      <c r="C217" s="172" t="s">
        <v>246</v>
      </c>
      <c r="D217" s="173" t="s">
        <v>65</v>
      </c>
      <c r="E217" s="745" t="s">
        <v>57</v>
      </c>
      <c r="F217" s="746" t="s">
        <v>68</v>
      </c>
      <c r="G217" s="150" t="s">
        <v>76</v>
      </c>
      <c r="H217" s="305">
        <f>'прил13(ведом 22-23)'!M185</f>
        <v>762.4</v>
      </c>
      <c r="I217" s="305">
        <f>'прил13(ведом 22-23)'!N185</f>
        <v>763.2</v>
      </c>
    </row>
    <row r="218" spans="1:9" ht="18.75">
      <c r="A218" s="291"/>
      <c r="B218" s="164" t="s">
        <v>77</v>
      </c>
      <c r="C218" s="172" t="s">
        <v>246</v>
      </c>
      <c r="D218" s="173" t="s">
        <v>65</v>
      </c>
      <c r="E218" s="745" t="s">
        <v>57</v>
      </c>
      <c r="F218" s="746" t="s">
        <v>68</v>
      </c>
      <c r="G218" s="150" t="s">
        <v>78</v>
      </c>
      <c r="H218" s="305">
        <f>'прил13(ведом 22-23)'!M186</f>
        <v>4.7</v>
      </c>
      <c r="I218" s="305">
        <f>'прил13(ведом 22-23)'!N186</f>
        <v>4.5999999999999996</v>
      </c>
    </row>
    <row r="219" spans="1:9" ht="30" customHeight="1">
      <c r="A219" s="291"/>
      <c r="B219" s="304" t="s">
        <v>356</v>
      </c>
      <c r="C219" s="172" t="s">
        <v>246</v>
      </c>
      <c r="D219" s="173" t="s">
        <v>65</v>
      </c>
      <c r="E219" s="745" t="s">
        <v>59</v>
      </c>
      <c r="F219" s="746" t="s">
        <v>64</v>
      </c>
      <c r="G219" s="150"/>
      <c r="H219" s="305">
        <f>H220</f>
        <v>5500</v>
      </c>
      <c r="I219" s="305">
        <f>I220</f>
        <v>5500</v>
      </c>
    </row>
    <row r="220" spans="1:9" ht="37.5">
      <c r="A220" s="291"/>
      <c r="B220" s="164" t="s">
        <v>298</v>
      </c>
      <c r="C220" s="172" t="s">
        <v>246</v>
      </c>
      <c r="D220" s="173" t="s">
        <v>65</v>
      </c>
      <c r="E220" s="745" t="s">
        <v>59</v>
      </c>
      <c r="F220" s="746" t="s">
        <v>578</v>
      </c>
      <c r="G220" s="150"/>
      <c r="H220" s="305">
        <f>H221</f>
        <v>5500</v>
      </c>
      <c r="I220" s="305">
        <f>I221</f>
        <v>5500</v>
      </c>
    </row>
    <row r="221" spans="1:9" ht="18.75">
      <c r="A221" s="291"/>
      <c r="B221" s="164" t="s">
        <v>144</v>
      </c>
      <c r="C221" s="172" t="s">
        <v>246</v>
      </c>
      <c r="D221" s="173" t="s">
        <v>65</v>
      </c>
      <c r="E221" s="745" t="s">
        <v>59</v>
      </c>
      <c r="F221" s="746" t="s">
        <v>578</v>
      </c>
      <c r="G221" s="150" t="s">
        <v>145</v>
      </c>
      <c r="H221" s="305">
        <f>'прил13(ведом 22-23)'!M202</f>
        <v>5500</v>
      </c>
      <c r="I221" s="305">
        <f>'прил13(ведом 22-23)'!N202</f>
        <v>5500</v>
      </c>
    </row>
    <row r="222" spans="1:9" ht="37.5">
      <c r="A222" s="291"/>
      <c r="B222" s="304" t="s">
        <v>428</v>
      </c>
      <c r="C222" s="172" t="s">
        <v>246</v>
      </c>
      <c r="D222" s="173" t="s">
        <v>65</v>
      </c>
      <c r="E222" s="745" t="s">
        <v>84</v>
      </c>
      <c r="F222" s="746" t="s">
        <v>64</v>
      </c>
      <c r="G222" s="150"/>
      <c r="H222" s="305">
        <f>H223</f>
        <v>2863.3</v>
      </c>
      <c r="I222" s="305">
        <f>I223</f>
        <v>2863.3</v>
      </c>
    </row>
    <row r="223" spans="1:9" ht="56.25">
      <c r="A223" s="291"/>
      <c r="B223" s="304" t="s">
        <v>429</v>
      </c>
      <c r="C223" s="172" t="s">
        <v>246</v>
      </c>
      <c r="D223" s="173" t="s">
        <v>65</v>
      </c>
      <c r="E223" s="745" t="s">
        <v>84</v>
      </c>
      <c r="F223" s="746" t="s">
        <v>126</v>
      </c>
      <c r="G223" s="150"/>
      <c r="H223" s="305">
        <f>H224</f>
        <v>2863.3</v>
      </c>
      <c r="I223" s="305">
        <f>I224</f>
        <v>2863.3</v>
      </c>
    </row>
    <row r="224" spans="1:9" ht="37.5">
      <c r="A224" s="291"/>
      <c r="B224" s="304" t="s">
        <v>75</v>
      </c>
      <c r="C224" s="172" t="s">
        <v>246</v>
      </c>
      <c r="D224" s="173" t="s">
        <v>65</v>
      </c>
      <c r="E224" s="745" t="s">
        <v>84</v>
      </c>
      <c r="F224" s="746" t="s">
        <v>126</v>
      </c>
      <c r="G224" s="150" t="s">
        <v>76</v>
      </c>
      <c r="H224" s="305">
        <f>'прил13(ведом 22-23)'!M192</f>
        <v>2863.3</v>
      </c>
      <c r="I224" s="305">
        <f>'прил13(ведом 22-23)'!N192</f>
        <v>2863.3</v>
      </c>
    </row>
    <row r="225" spans="1:9" ht="37.5">
      <c r="A225" s="291"/>
      <c r="B225" s="164" t="s">
        <v>804</v>
      </c>
      <c r="C225" s="172" t="s">
        <v>246</v>
      </c>
      <c r="D225" s="173" t="s">
        <v>65</v>
      </c>
      <c r="E225" s="745" t="s">
        <v>86</v>
      </c>
      <c r="F225" s="746" t="s">
        <v>64</v>
      </c>
      <c r="G225" s="150"/>
      <c r="H225" s="305">
        <f>H226</f>
        <v>18</v>
      </c>
      <c r="I225" s="305">
        <f>I226</f>
        <v>18</v>
      </c>
    </row>
    <row r="226" spans="1:9" ht="18.75">
      <c r="A226" s="291"/>
      <c r="B226" s="164" t="s">
        <v>802</v>
      </c>
      <c r="C226" s="172" t="s">
        <v>246</v>
      </c>
      <c r="D226" s="173" t="s">
        <v>65</v>
      </c>
      <c r="E226" s="745" t="s">
        <v>86</v>
      </c>
      <c r="F226" s="746" t="s">
        <v>803</v>
      </c>
      <c r="G226" s="150"/>
      <c r="H226" s="305">
        <f>H227</f>
        <v>18</v>
      </c>
      <c r="I226" s="305">
        <f>I227</f>
        <v>18</v>
      </c>
    </row>
    <row r="227" spans="1:9" ht="37.5">
      <c r="A227" s="291"/>
      <c r="B227" s="164" t="s">
        <v>75</v>
      </c>
      <c r="C227" s="172" t="s">
        <v>246</v>
      </c>
      <c r="D227" s="173" t="s">
        <v>65</v>
      </c>
      <c r="E227" s="745" t="s">
        <v>86</v>
      </c>
      <c r="F227" s="746" t="s">
        <v>803</v>
      </c>
      <c r="G227" s="150" t="s">
        <v>76</v>
      </c>
      <c r="H227" s="305">
        <f>'прил13(ведом 22-23)'!M195</f>
        <v>18</v>
      </c>
      <c r="I227" s="305">
        <f>'прил13(ведом 22-23)'!N195</f>
        <v>18</v>
      </c>
    </row>
    <row r="228" spans="1:9" ht="18.75">
      <c r="A228" s="291"/>
      <c r="B228" s="164"/>
      <c r="C228" s="173"/>
      <c r="D228" s="173"/>
      <c r="E228" s="173"/>
      <c r="F228" s="330"/>
      <c r="G228" s="150"/>
      <c r="H228" s="305"/>
      <c r="I228" s="305"/>
    </row>
    <row r="229" spans="1:9" s="303" customFormat="1" ht="56.25">
      <c r="A229" s="297">
        <v>7</v>
      </c>
      <c r="B229" s="331" t="s">
        <v>247</v>
      </c>
      <c r="C229" s="332" t="s">
        <v>248</v>
      </c>
      <c r="D229" s="315" t="s">
        <v>62</v>
      </c>
      <c r="E229" s="315" t="s">
        <v>63</v>
      </c>
      <c r="F229" s="316" t="s">
        <v>64</v>
      </c>
      <c r="G229" s="333"/>
      <c r="H229" s="302">
        <f>H230+H236</f>
        <v>27719.5</v>
      </c>
      <c r="I229" s="302">
        <f>I230+I236</f>
        <v>19723.400000000001</v>
      </c>
    </row>
    <row r="230" spans="1:9" s="303" customFormat="1" ht="37.5">
      <c r="A230" s="297"/>
      <c r="B230" s="363" t="s">
        <v>249</v>
      </c>
      <c r="C230" s="414" t="s">
        <v>248</v>
      </c>
      <c r="D230" s="415" t="s">
        <v>65</v>
      </c>
      <c r="E230" s="415" t="s">
        <v>63</v>
      </c>
      <c r="F230" s="416" t="s">
        <v>64</v>
      </c>
      <c r="G230" s="311"/>
      <c r="H230" s="305">
        <f t="shared" ref="H230:I234" si="4">H231</f>
        <v>8506.2000000000007</v>
      </c>
      <c r="I230" s="305">
        <f t="shared" si="4"/>
        <v>508.4</v>
      </c>
    </row>
    <row r="231" spans="1:9" s="303" customFormat="1" ht="37.5">
      <c r="A231" s="297"/>
      <c r="B231" s="358" t="s">
        <v>403</v>
      </c>
      <c r="C231" s="308" t="s">
        <v>248</v>
      </c>
      <c r="D231" s="309" t="s">
        <v>65</v>
      </c>
      <c r="E231" s="309" t="s">
        <v>59</v>
      </c>
      <c r="F231" s="310" t="s">
        <v>64</v>
      </c>
      <c r="G231" s="311"/>
      <c r="H231" s="305">
        <f>H234+H232</f>
        <v>8506.2000000000007</v>
      </c>
      <c r="I231" s="305">
        <f>I234+I232</f>
        <v>508.4</v>
      </c>
    </row>
    <row r="232" spans="1:9" s="303" customFormat="1" ht="37.5">
      <c r="A232" s="297"/>
      <c r="B232" s="358" t="s">
        <v>402</v>
      </c>
      <c r="C232" s="308" t="s">
        <v>248</v>
      </c>
      <c r="D232" s="309" t="s">
        <v>65</v>
      </c>
      <c r="E232" s="309" t="s">
        <v>59</v>
      </c>
      <c r="F232" s="310" t="s">
        <v>401</v>
      </c>
      <c r="G232" s="311"/>
      <c r="H232" s="305">
        <f t="shared" si="4"/>
        <v>506.2</v>
      </c>
      <c r="I232" s="305">
        <f t="shared" si="4"/>
        <v>508.4</v>
      </c>
    </row>
    <row r="233" spans="1:9" s="303" customFormat="1" ht="37.5">
      <c r="A233" s="297"/>
      <c r="B233" s="358" t="s">
        <v>75</v>
      </c>
      <c r="C233" s="308" t="s">
        <v>248</v>
      </c>
      <c r="D233" s="309" t="s">
        <v>65</v>
      </c>
      <c r="E233" s="309" t="s">
        <v>59</v>
      </c>
      <c r="F233" s="310" t="s">
        <v>401</v>
      </c>
      <c r="G233" s="311" t="s">
        <v>76</v>
      </c>
      <c r="H233" s="305">
        <f>'прил13(ведом 22-23)'!M221</f>
        <v>506.2</v>
      </c>
      <c r="I233" s="305">
        <f>'прил13(ведом 22-23)'!N221</f>
        <v>508.4</v>
      </c>
    </row>
    <row r="234" spans="1:9" s="303" customFormat="1" ht="93.75">
      <c r="A234" s="297"/>
      <c r="B234" s="806" t="s">
        <v>1016</v>
      </c>
      <c r="C234" s="308" t="s">
        <v>248</v>
      </c>
      <c r="D234" s="309" t="s">
        <v>65</v>
      </c>
      <c r="E234" s="309" t="s">
        <v>59</v>
      </c>
      <c r="F234" s="310" t="s">
        <v>594</v>
      </c>
      <c r="G234" s="311"/>
      <c r="H234" s="305">
        <f t="shared" si="4"/>
        <v>8000</v>
      </c>
      <c r="I234" s="305">
        <f t="shared" si="4"/>
        <v>0</v>
      </c>
    </row>
    <row r="235" spans="1:9" s="303" customFormat="1" ht="37.5">
      <c r="A235" s="297"/>
      <c r="B235" s="307" t="s">
        <v>225</v>
      </c>
      <c r="C235" s="308" t="s">
        <v>248</v>
      </c>
      <c r="D235" s="309" t="s">
        <v>65</v>
      </c>
      <c r="E235" s="309" t="s">
        <v>59</v>
      </c>
      <c r="F235" s="310" t="s">
        <v>594</v>
      </c>
      <c r="G235" s="311" t="s">
        <v>226</v>
      </c>
      <c r="H235" s="305">
        <f>'прил13(ведом 22-23)'!M223</f>
        <v>8000</v>
      </c>
      <c r="I235" s="305">
        <f>'прил13(ведом 22-23)'!N223</f>
        <v>0</v>
      </c>
    </row>
    <row r="236" spans="1:9" ht="37.5">
      <c r="A236" s="329"/>
      <c r="B236" s="334" t="s">
        <v>251</v>
      </c>
      <c r="C236" s="180" t="s">
        <v>248</v>
      </c>
      <c r="D236" s="175" t="s">
        <v>110</v>
      </c>
      <c r="E236" s="175" t="s">
        <v>63</v>
      </c>
      <c r="F236" s="176" t="s">
        <v>64</v>
      </c>
      <c r="G236" s="174"/>
      <c r="H236" s="305">
        <f>H237+H248+H251</f>
        <v>19213.3</v>
      </c>
      <c r="I236" s="305">
        <f>I237+I248+I251</f>
        <v>19215</v>
      </c>
    </row>
    <row r="237" spans="1:9" ht="75">
      <c r="A237" s="329"/>
      <c r="B237" s="334" t="s">
        <v>353</v>
      </c>
      <c r="C237" s="180" t="s">
        <v>248</v>
      </c>
      <c r="D237" s="175" t="s">
        <v>110</v>
      </c>
      <c r="E237" s="175" t="s">
        <v>57</v>
      </c>
      <c r="F237" s="176" t="s">
        <v>64</v>
      </c>
      <c r="G237" s="174"/>
      <c r="H237" s="305">
        <f>H238+H242+H246</f>
        <v>18642.899999999998</v>
      </c>
      <c r="I237" s="305">
        <f>I238+I242+I246</f>
        <v>18644.599999999999</v>
      </c>
    </row>
    <row r="238" spans="1:9" ht="37.5">
      <c r="A238" s="329"/>
      <c r="B238" s="334" t="s">
        <v>67</v>
      </c>
      <c r="C238" s="177" t="s">
        <v>248</v>
      </c>
      <c r="D238" s="178" t="s">
        <v>110</v>
      </c>
      <c r="E238" s="178" t="s">
        <v>57</v>
      </c>
      <c r="F238" s="179" t="s">
        <v>68</v>
      </c>
      <c r="G238" s="174"/>
      <c r="H238" s="305">
        <f>SUM(H239:H241)</f>
        <v>13256.9</v>
      </c>
      <c r="I238" s="305">
        <f>SUM(I239:I241)</f>
        <v>13257.3</v>
      </c>
    </row>
    <row r="239" spans="1:9" ht="93.75">
      <c r="A239" s="329"/>
      <c r="B239" s="334" t="s">
        <v>69</v>
      </c>
      <c r="C239" s="180" t="s">
        <v>248</v>
      </c>
      <c r="D239" s="175" t="s">
        <v>110</v>
      </c>
      <c r="E239" s="175" t="s">
        <v>57</v>
      </c>
      <c r="F239" s="176" t="s">
        <v>68</v>
      </c>
      <c r="G239" s="174" t="s">
        <v>70</v>
      </c>
      <c r="H239" s="305">
        <f>'прил13(ведом 22-23)'!M227</f>
        <v>12941.4</v>
      </c>
      <c r="I239" s="305">
        <f>'прил13(ведом 22-23)'!N227</f>
        <v>12941.4</v>
      </c>
    </row>
    <row r="240" spans="1:9" ht="37.5">
      <c r="A240" s="329"/>
      <c r="B240" s="358" t="s">
        <v>75</v>
      </c>
      <c r="C240" s="339" t="s">
        <v>248</v>
      </c>
      <c r="D240" s="309" t="s">
        <v>110</v>
      </c>
      <c r="E240" s="309" t="s">
        <v>57</v>
      </c>
      <c r="F240" s="310" t="s">
        <v>68</v>
      </c>
      <c r="G240" s="311" t="s">
        <v>76</v>
      </c>
      <c r="H240" s="305">
        <f>'прил13(ведом 22-23)'!M228</f>
        <v>314.2</v>
      </c>
      <c r="I240" s="305">
        <f>'прил13(ведом 22-23)'!N228</f>
        <v>314.60000000000002</v>
      </c>
    </row>
    <row r="241" spans="1:9" ht="18.75">
      <c r="A241" s="329"/>
      <c r="B241" s="363" t="s">
        <v>77</v>
      </c>
      <c r="C241" s="339" t="s">
        <v>248</v>
      </c>
      <c r="D241" s="309" t="s">
        <v>110</v>
      </c>
      <c r="E241" s="309" t="s">
        <v>57</v>
      </c>
      <c r="F241" s="310" t="s">
        <v>68</v>
      </c>
      <c r="G241" s="311" t="s">
        <v>78</v>
      </c>
      <c r="H241" s="305">
        <f>'прил13(ведом 22-23)'!M229</f>
        <v>1.3</v>
      </c>
      <c r="I241" s="305">
        <f>'прил13(ведом 22-23)'!N229</f>
        <v>1.3</v>
      </c>
    </row>
    <row r="242" spans="1:9" ht="37.5">
      <c r="A242" s="329"/>
      <c r="B242" s="304" t="s">
        <v>800</v>
      </c>
      <c r="C242" s="180" t="s">
        <v>248</v>
      </c>
      <c r="D242" s="175" t="s">
        <v>110</v>
      </c>
      <c r="E242" s="175" t="s">
        <v>57</v>
      </c>
      <c r="F242" s="176" t="s">
        <v>112</v>
      </c>
      <c r="G242" s="174"/>
      <c r="H242" s="305">
        <f>SUM(H243:H245)</f>
        <v>5351.4999999999991</v>
      </c>
      <c r="I242" s="305">
        <f>SUM(I243:I245)</f>
        <v>5352.8</v>
      </c>
    </row>
    <row r="243" spans="1:9" ht="93.75">
      <c r="A243" s="329"/>
      <c r="B243" s="334" t="s">
        <v>69</v>
      </c>
      <c r="C243" s="180" t="s">
        <v>248</v>
      </c>
      <c r="D243" s="175" t="s">
        <v>110</v>
      </c>
      <c r="E243" s="175" t="s">
        <v>57</v>
      </c>
      <c r="F243" s="176" t="s">
        <v>112</v>
      </c>
      <c r="G243" s="174" t="s">
        <v>70</v>
      </c>
      <c r="H243" s="305">
        <f>'прил13(ведом 22-23)'!M231</f>
        <v>4981.3999999999996</v>
      </c>
      <c r="I243" s="305">
        <f>'прил13(ведом 22-23)'!N231</f>
        <v>4981.3999999999996</v>
      </c>
    </row>
    <row r="244" spans="1:9" ht="37.5">
      <c r="A244" s="329"/>
      <c r="B244" s="164" t="s">
        <v>75</v>
      </c>
      <c r="C244" s="177" t="s">
        <v>248</v>
      </c>
      <c r="D244" s="178" t="s">
        <v>110</v>
      </c>
      <c r="E244" s="178" t="s">
        <v>57</v>
      </c>
      <c r="F244" s="179" t="s">
        <v>112</v>
      </c>
      <c r="G244" s="174" t="s">
        <v>76</v>
      </c>
      <c r="H244" s="305">
        <f>'прил13(ведом 22-23)'!M232</f>
        <v>347.2</v>
      </c>
      <c r="I244" s="305">
        <f>'прил13(ведом 22-23)'!N232</f>
        <v>350.3</v>
      </c>
    </row>
    <row r="245" spans="1:9" ht="18.75">
      <c r="A245" s="329"/>
      <c r="B245" s="171" t="s">
        <v>77</v>
      </c>
      <c r="C245" s="180" t="s">
        <v>248</v>
      </c>
      <c r="D245" s="175" t="s">
        <v>110</v>
      </c>
      <c r="E245" s="175" t="s">
        <v>57</v>
      </c>
      <c r="F245" s="176" t="s">
        <v>112</v>
      </c>
      <c r="G245" s="174" t="s">
        <v>78</v>
      </c>
      <c r="H245" s="305">
        <f>'прил13(ведом 22-23)'!M233</f>
        <v>22.9</v>
      </c>
      <c r="I245" s="305">
        <f>'прил13(ведом 22-23)'!N233</f>
        <v>21.1</v>
      </c>
    </row>
    <row r="246" spans="1:9" ht="56.25">
      <c r="A246" s="329"/>
      <c r="B246" s="358" t="s">
        <v>431</v>
      </c>
      <c r="C246" s="339" t="s">
        <v>248</v>
      </c>
      <c r="D246" s="309" t="s">
        <v>110</v>
      </c>
      <c r="E246" s="309" t="s">
        <v>57</v>
      </c>
      <c r="F246" s="310" t="s">
        <v>430</v>
      </c>
      <c r="G246" s="311"/>
      <c r="H246" s="305">
        <f>H247</f>
        <v>34.5</v>
      </c>
      <c r="I246" s="305">
        <f>I247</f>
        <v>34.5</v>
      </c>
    </row>
    <row r="247" spans="1:9" ht="37.5">
      <c r="A247" s="329"/>
      <c r="B247" s="358" t="s">
        <v>75</v>
      </c>
      <c r="C247" s="339" t="s">
        <v>248</v>
      </c>
      <c r="D247" s="309" t="s">
        <v>110</v>
      </c>
      <c r="E247" s="309" t="s">
        <v>57</v>
      </c>
      <c r="F247" s="456" t="s">
        <v>430</v>
      </c>
      <c r="G247" s="311" t="s">
        <v>76</v>
      </c>
      <c r="H247" s="305">
        <f>'прил13(ведом 22-23)'!M235</f>
        <v>34.5</v>
      </c>
      <c r="I247" s="305">
        <f>'прил13(ведом 22-23)'!N235</f>
        <v>34.5</v>
      </c>
    </row>
    <row r="248" spans="1:9" ht="37.5">
      <c r="A248" s="329"/>
      <c r="B248" s="458" t="s">
        <v>428</v>
      </c>
      <c r="C248" s="339" t="s">
        <v>248</v>
      </c>
      <c r="D248" s="340" t="s">
        <v>110</v>
      </c>
      <c r="E248" s="340" t="s">
        <v>59</v>
      </c>
      <c r="F248" s="341" t="s">
        <v>64</v>
      </c>
      <c r="G248" s="342"/>
      <c r="H248" s="305">
        <f>H249</f>
        <v>549.9</v>
      </c>
      <c r="I248" s="305">
        <f>I249</f>
        <v>549.9</v>
      </c>
    </row>
    <row r="249" spans="1:9" ht="56.25">
      <c r="A249" s="329"/>
      <c r="B249" s="594" t="s">
        <v>429</v>
      </c>
      <c r="C249" s="419" t="s">
        <v>248</v>
      </c>
      <c r="D249" s="340" t="s">
        <v>110</v>
      </c>
      <c r="E249" s="340" t="s">
        <v>59</v>
      </c>
      <c r="F249" s="341" t="s">
        <v>126</v>
      </c>
      <c r="G249" s="344"/>
      <c r="H249" s="305">
        <f>H250</f>
        <v>549.9</v>
      </c>
      <c r="I249" s="305">
        <f>I250</f>
        <v>549.9</v>
      </c>
    </row>
    <row r="250" spans="1:9" ht="37.5">
      <c r="A250" s="329"/>
      <c r="B250" s="595" t="s">
        <v>75</v>
      </c>
      <c r="C250" s="419" t="s">
        <v>248</v>
      </c>
      <c r="D250" s="348" t="s">
        <v>110</v>
      </c>
      <c r="E250" s="348" t="s">
        <v>59</v>
      </c>
      <c r="F250" s="468" t="s">
        <v>126</v>
      </c>
      <c r="G250" s="469" t="s">
        <v>76</v>
      </c>
      <c r="H250" s="305">
        <f>'прил13(ведом 22-23)'!M238</f>
        <v>549.9</v>
      </c>
      <c r="I250" s="305">
        <f>'прил13(ведом 22-23)'!N238</f>
        <v>549.9</v>
      </c>
    </row>
    <row r="251" spans="1:9" ht="27" customHeight="1">
      <c r="A251" s="329"/>
      <c r="B251" s="470" t="s">
        <v>464</v>
      </c>
      <c r="C251" s="419" t="s">
        <v>248</v>
      </c>
      <c r="D251" s="340" t="s">
        <v>110</v>
      </c>
      <c r="E251" s="340" t="s">
        <v>84</v>
      </c>
      <c r="F251" s="341" t="s">
        <v>64</v>
      </c>
      <c r="G251" s="344"/>
      <c r="H251" s="305">
        <f>H252</f>
        <v>20.5</v>
      </c>
      <c r="I251" s="305">
        <f>I252</f>
        <v>20.5</v>
      </c>
    </row>
    <row r="252" spans="1:9" ht="37.5">
      <c r="A252" s="329"/>
      <c r="B252" s="470" t="s">
        <v>402</v>
      </c>
      <c r="C252" s="347" t="s">
        <v>248</v>
      </c>
      <c r="D252" s="348" t="s">
        <v>110</v>
      </c>
      <c r="E252" s="348" t="s">
        <v>84</v>
      </c>
      <c r="F252" s="468" t="s">
        <v>401</v>
      </c>
      <c r="G252" s="344"/>
      <c r="H252" s="305">
        <f>H253</f>
        <v>20.5</v>
      </c>
      <c r="I252" s="305">
        <f>I253</f>
        <v>20.5</v>
      </c>
    </row>
    <row r="253" spans="1:9" ht="18.75">
      <c r="A253" s="329"/>
      <c r="B253" s="363" t="s">
        <v>77</v>
      </c>
      <c r="C253" s="339" t="s">
        <v>248</v>
      </c>
      <c r="D253" s="340" t="s">
        <v>110</v>
      </c>
      <c r="E253" s="340" t="s">
        <v>84</v>
      </c>
      <c r="F253" s="341" t="s">
        <v>401</v>
      </c>
      <c r="G253" s="344" t="s">
        <v>78</v>
      </c>
      <c r="H253" s="305">
        <f>'прил13(ведом 22-23)'!M241</f>
        <v>20.5</v>
      </c>
      <c r="I253" s="305">
        <f>'прил13(ведом 22-23)'!N241</f>
        <v>20.5</v>
      </c>
    </row>
    <row r="254" spans="1:9" ht="18.75">
      <c r="A254" s="329"/>
      <c r="B254" s="171"/>
      <c r="C254" s="321"/>
      <c r="D254" s="175"/>
      <c r="E254" s="175"/>
      <c r="F254" s="176"/>
      <c r="G254" s="174"/>
      <c r="H254" s="305"/>
      <c r="I254" s="305"/>
    </row>
    <row r="255" spans="1:9" s="303" customFormat="1" ht="56.25">
      <c r="A255" s="314">
        <v>8</v>
      </c>
      <c r="B255" s="331" t="s">
        <v>339</v>
      </c>
      <c r="C255" s="315" t="s">
        <v>100</v>
      </c>
      <c r="D255" s="315" t="s">
        <v>62</v>
      </c>
      <c r="E255" s="315" t="s">
        <v>63</v>
      </c>
      <c r="F255" s="316" t="s">
        <v>64</v>
      </c>
      <c r="G255" s="301"/>
      <c r="H255" s="302">
        <f>H256</f>
        <v>108876.49999999999</v>
      </c>
      <c r="I255" s="302">
        <f>I256</f>
        <v>110259.3</v>
      </c>
    </row>
    <row r="256" spans="1:9" ht="23.25" customHeight="1">
      <c r="A256" s="291"/>
      <c r="B256" s="304" t="s">
        <v>404</v>
      </c>
      <c r="C256" s="336" t="s">
        <v>100</v>
      </c>
      <c r="D256" s="175" t="s">
        <v>65</v>
      </c>
      <c r="E256" s="175" t="s">
        <v>63</v>
      </c>
      <c r="F256" s="354" t="s">
        <v>64</v>
      </c>
      <c r="G256" s="289"/>
      <c r="H256" s="305">
        <f>H257+H272+H277+H287</f>
        <v>108876.49999999999</v>
      </c>
      <c r="I256" s="305">
        <f>I257+I272+I277+I287</f>
        <v>110259.3</v>
      </c>
    </row>
    <row r="257" spans="1:9" ht="37.5">
      <c r="A257" s="291"/>
      <c r="B257" s="304" t="s">
        <v>325</v>
      </c>
      <c r="C257" s="744" t="s">
        <v>100</v>
      </c>
      <c r="D257" s="745" t="s">
        <v>65</v>
      </c>
      <c r="E257" s="745" t="s">
        <v>57</v>
      </c>
      <c r="F257" s="746" t="s">
        <v>64</v>
      </c>
      <c r="G257" s="289"/>
      <c r="H257" s="305">
        <f>H258+H261+H264+H267+H270</f>
        <v>60530.1</v>
      </c>
      <c r="I257" s="305">
        <f>I258+I261+I264+I267+I270</f>
        <v>61912.899999999994</v>
      </c>
    </row>
    <row r="258" spans="1:9" ht="132" customHeight="1">
      <c r="A258" s="291"/>
      <c r="B258" s="355" t="s">
        <v>440</v>
      </c>
      <c r="C258" s="744" t="s">
        <v>100</v>
      </c>
      <c r="D258" s="745" t="s">
        <v>65</v>
      </c>
      <c r="E258" s="745" t="s">
        <v>57</v>
      </c>
      <c r="F258" s="746" t="s">
        <v>341</v>
      </c>
      <c r="G258" s="150"/>
      <c r="H258" s="305">
        <f>SUM(H259:H260)</f>
        <v>34301.300000000003</v>
      </c>
      <c r="I258" s="305">
        <f>SUM(I259:I260)</f>
        <v>35673.9</v>
      </c>
    </row>
    <row r="259" spans="1:9" ht="37.5">
      <c r="A259" s="291"/>
      <c r="B259" s="356" t="s">
        <v>75</v>
      </c>
      <c r="C259" s="744" t="s">
        <v>100</v>
      </c>
      <c r="D259" s="745" t="s">
        <v>65</v>
      </c>
      <c r="E259" s="745" t="s">
        <v>57</v>
      </c>
      <c r="F259" s="746" t="s">
        <v>341</v>
      </c>
      <c r="G259" s="150" t="s">
        <v>76</v>
      </c>
      <c r="H259" s="305">
        <f>'прил13(ведом 22-23)'!M528</f>
        <v>171.5</v>
      </c>
      <c r="I259" s="305">
        <f>'прил13(ведом 22-23)'!N528</f>
        <v>178.4</v>
      </c>
    </row>
    <row r="260" spans="1:9" ht="30" customHeight="1">
      <c r="A260" s="291"/>
      <c r="B260" s="304" t="s">
        <v>141</v>
      </c>
      <c r="C260" s="744" t="s">
        <v>100</v>
      </c>
      <c r="D260" s="745" t="s">
        <v>65</v>
      </c>
      <c r="E260" s="745" t="s">
        <v>57</v>
      </c>
      <c r="F260" s="746" t="s">
        <v>341</v>
      </c>
      <c r="G260" s="150" t="s">
        <v>142</v>
      </c>
      <c r="H260" s="305">
        <f>'прил13(ведом 22-23)'!M529</f>
        <v>34129.800000000003</v>
      </c>
      <c r="I260" s="305">
        <f>'прил13(ведом 22-23)'!N529</f>
        <v>35495.5</v>
      </c>
    </row>
    <row r="261" spans="1:9" ht="93.75">
      <c r="A261" s="291"/>
      <c r="B261" s="304" t="s">
        <v>441</v>
      </c>
      <c r="C261" s="744" t="s">
        <v>100</v>
      </c>
      <c r="D261" s="745" t="s">
        <v>65</v>
      </c>
      <c r="E261" s="745" t="s">
        <v>57</v>
      </c>
      <c r="F261" s="746" t="s">
        <v>342</v>
      </c>
      <c r="G261" s="150"/>
      <c r="H261" s="305">
        <f>SUM(H262:H263)</f>
        <v>25619.1</v>
      </c>
      <c r="I261" s="305">
        <f>SUM(I262:I263)</f>
        <v>25619.1</v>
      </c>
    </row>
    <row r="262" spans="1:9" ht="37.5">
      <c r="A262" s="291"/>
      <c r="B262" s="356" t="s">
        <v>75</v>
      </c>
      <c r="C262" s="744" t="s">
        <v>100</v>
      </c>
      <c r="D262" s="745" t="s">
        <v>65</v>
      </c>
      <c r="E262" s="745" t="s">
        <v>57</v>
      </c>
      <c r="F262" s="746" t="s">
        <v>342</v>
      </c>
      <c r="G262" s="150" t="s">
        <v>76</v>
      </c>
      <c r="H262" s="305">
        <f>'прил13(ведом 22-23)'!M531</f>
        <v>128.1</v>
      </c>
      <c r="I262" s="305">
        <f>'прил13(ведом 22-23)'!N531</f>
        <v>128.1</v>
      </c>
    </row>
    <row r="263" spans="1:9" ht="26.25" customHeight="1">
      <c r="A263" s="291"/>
      <c r="B263" s="304" t="s">
        <v>141</v>
      </c>
      <c r="C263" s="744" t="s">
        <v>100</v>
      </c>
      <c r="D263" s="745" t="s">
        <v>65</v>
      </c>
      <c r="E263" s="745" t="s">
        <v>57</v>
      </c>
      <c r="F263" s="746" t="s">
        <v>342</v>
      </c>
      <c r="G263" s="150" t="s">
        <v>142</v>
      </c>
      <c r="H263" s="305">
        <f>'прил13(ведом 22-23)'!M532</f>
        <v>25491</v>
      </c>
      <c r="I263" s="305">
        <f>'прил13(ведом 22-23)'!N532</f>
        <v>25491</v>
      </c>
    </row>
    <row r="264" spans="1:9" ht="93.75">
      <c r="A264" s="291"/>
      <c r="B264" s="304" t="s">
        <v>442</v>
      </c>
      <c r="C264" s="744" t="s">
        <v>100</v>
      </c>
      <c r="D264" s="745" t="s">
        <v>65</v>
      </c>
      <c r="E264" s="745" t="s">
        <v>57</v>
      </c>
      <c r="F264" s="746" t="s">
        <v>343</v>
      </c>
      <c r="G264" s="150"/>
      <c r="H264" s="305">
        <f>SUM(H265:H266)</f>
        <v>252.9</v>
      </c>
      <c r="I264" s="305">
        <f>SUM(I265:I266)</f>
        <v>263.10000000000002</v>
      </c>
    </row>
    <row r="265" spans="1:9" ht="37.5">
      <c r="A265" s="291"/>
      <c r="B265" s="304" t="s">
        <v>75</v>
      </c>
      <c r="C265" s="744" t="s">
        <v>100</v>
      </c>
      <c r="D265" s="745" t="s">
        <v>65</v>
      </c>
      <c r="E265" s="745" t="s">
        <v>57</v>
      </c>
      <c r="F265" s="746" t="s">
        <v>343</v>
      </c>
      <c r="G265" s="150" t="s">
        <v>76</v>
      </c>
      <c r="H265" s="305">
        <f>'прил13(ведом 22-23)'!M534</f>
        <v>1.2</v>
      </c>
      <c r="I265" s="305">
        <f>'прил13(ведом 22-23)'!N534</f>
        <v>1.3</v>
      </c>
    </row>
    <row r="266" spans="1:9" ht="29.25" customHeight="1">
      <c r="A266" s="291"/>
      <c r="B266" s="304" t="s">
        <v>141</v>
      </c>
      <c r="C266" s="744" t="s">
        <v>100</v>
      </c>
      <c r="D266" s="745" t="s">
        <v>65</v>
      </c>
      <c r="E266" s="745" t="s">
        <v>57</v>
      </c>
      <c r="F266" s="746" t="s">
        <v>343</v>
      </c>
      <c r="G266" s="150" t="s">
        <v>142</v>
      </c>
      <c r="H266" s="305">
        <f>'прил13(ведом 22-23)'!M535</f>
        <v>251.70000000000002</v>
      </c>
      <c r="I266" s="305">
        <f>'прил13(ведом 22-23)'!N535</f>
        <v>261.8</v>
      </c>
    </row>
    <row r="267" spans="1:9" ht="112.5">
      <c r="A267" s="291"/>
      <c r="B267" s="304" t="s">
        <v>448</v>
      </c>
      <c r="C267" s="744" t="s">
        <v>100</v>
      </c>
      <c r="D267" s="745" t="s">
        <v>65</v>
      </c>
      <c r="E267" s="745" t="s">
        <v>57</v>
      </c>
      <c r="F267" s="746" t="s">
        <v>344</v>
      </c>
      <c r="G267" s="150"/>
      <c r="H267" s="305">
        <f>SUM(H268:H269)</f>
        <v>346.7</v>
      </c>
      <c r="I267" s="305">
        <f>SUM(I268:I269)</f>
        <v>346.7</v>
      </c>
    </row>
    <row r="268" spans="1:9" ht="37.5">
      <c r="A268" s="291"/>
      <c r="B268" s="304" t="s">
        <v>75</v>
      </c>
      <c r="C268" s="744" t="s">
        <v>100</v>
      </c>
      <c r="D268" s="745" t="s">
        <v>65</v>
      </c>
      <c r="E268" s="745" t="s">
        <v>57</v>
      </c>
      <c r="F268" s="746" t="s">
        <v>344</v>
      </c>
      <c r="G268" s="150" t="s">
        <v>76</v>
      </c>
      <c r="H268" s="305">
        <f>'прил13(ведом 22-23)'!M537</f>
        <v>1.7</v>
      </c>
      <c r="I268" s="305">
        <f>'прил13(ведом 22-23)'!N537</f>
        <v>1.7</v>
      </c>
    </row>
    <row r="269" spans="1:9" ht="25.5" customHeight="1">
      <c r="A269" s="291"/>
      <c r="B269" s="304" t="s">
        <v>141</v>
      </c>
      <c r="C269" s="744" t="s">
        <v>100</v>
      </c>
      <c r="D269" s="745" t="s">
        <v>65</v>
      </c>
      <c r="E269" s="745" t="s">
        <v>57</v>
      </c>
      <c r="F269" s="746" t="s">
        <v>344</v>
      </c>
      <c r="G269" s="150" t="s">
        <v>142</v>
      </c>
      <c r="H269" s="305">
        <f>'прил13(ведом 22-23)'!M538</f>
        <v>345</v>
      </c>
      <c r="I269" s="305">
        <f>'прил13(ведом 22-23)'!N538</f>
        <v>345</v>
      </c>
    </row>
    <row r="270" spans="1:9" ht="135" customHeight="1">
      <c r="A270" s="291"/>
      <c r="B270" s="357" t="s">
        <v>439</v>
      </c>
      <c r="C270" s="744" t="s">
        <v>100</v>
      </c>
      <c r="D270" s="745" t="s">
        <v>65</v>
      </c>
      <c r="E270" s="745" t="s">
        <v>57</v>
      </c>
      <c r="F270" s="746" t="s">
        <v>340</v>
      </c>
      <c r="G270" s="150"/>
      <c r="H270" s="305">
        <f>H271</f>
        <v>10.1</v>
      </c>
      <c r="I270" s="305">
        <f>I271</f>
        <v>10.1</v>
      </c>
    </row>
    <row r="271" spans="1:9" ht="37.5">
      <c r="A271" s="291"/>
      <c r="B271" s="164" t="s">
        <v>141</v>
      </c>
      <c r="C271" s="744" t="s">
        <v>100</v>
      </c>
      <c r="D271" s="745" t="s">
        <v>65</v>
      </c>
      <c r="E271" s="745" t="s">
        <v>57</v>
      </c>
      <c r="F271" s="746" t="s">
        <v>340</v>
      </c>
      <c r="G271" s="150" t="s">
        <v>142</v>
      </c>
      <c r="H271" s="305">
        <f>'прил13(ведом 22-23)'!M521</f>
        <v>10.1</v>
      </c>
      <c r="I271" s="305">
        <f>'прил13(ведом 22-23)'!N521</f>
        <v>10.1</v>
      </c>
    </row>
    <row r="272" spans="1:9" ht="75">
      <c r="A272" s="291"/>
      <c r="B272" s="358" t="s">
        <v>352</v>
      </c>
      <c r="C272" s="359" t="s">
        <v>100</v>
      </c>
      <c r="D272" s="360" t="s">
        <v>65</v>
      </c>
      <c r="E272" s="360" t="s">
        <v>59</v>
      </c>
      <c r="F272" s="361" t="s">
        <v>64</v>
      </c>
      <c r="G272" s="362"/>
      <c r="H272" s="305">
        <f>H275+H273</f>
        <v>40202.699999999997</v>
      </c>
      <c r="I272" s="305">
        <f>I275+I273</f>
        <v>40202.700000000004</v>
      </c>
    </row>
    <row r="273" spans="1:9" ht="94.5" customHeight="1">
      <c r="A273" s="291"/>
      <c r="B273" s="363" t="s">
        <v>591</v>
      </c>
      <c r="C273" s="308" t="s">
        <v>100</v>
      </c>
      <c r="D273" s="309" t="s">
        <v>65</v>
      </c>
      <c r="E273" s="309" t="s">
        <v>59</v>
      </c>
      <c r="F273" s="364" t="s">
        <v>592</v>
      </c>
      <c r="G273" s="311"/>
      <c r="H273" s="305">
        <f>H274</f>
        <v>30934.1</v>
      </c>
      <c r="I273" s="305">
        <f>I274</f>
        <v>30934.100000000002</v>
      </c>
    </row>
    <row r="274" spans="1:9" ht="37.5">
      <c r="A274" s="291"/>
      <c r="B274" s="363" t="s">
        <v>225</v>
      </c>
      <c r="C274" s="308" t="s">
        <v>100</v>
      </c>
      <c r="D274" s="309" t="s">
        <v>65</v>
      </c>
      <c r="E274" s="309" t="s">
        <v>59</v>
      </c>
      <c r="F274" s="364" t="s">
        <v>592</v>
      </c>
      <c r="G274" s="311" t="s">
        <v>226</v>
      </c>
      <c r="H274" s="305">
        <f>'прил13(ведом 22-23)'!M262</f>
        <v>30934.1</v>
      </c>
      <c r="I274" s="305">
        <f>'прил13(ведом 22-23)'!N262</f>
        <v>30934.100000000002</v>
      </c>
    </row>
    <row r="275" spans="1:9" ht="98.25" customHeight="1">
      <c r="A275" s="291"/>
      <c r="B275" s="363" t="s">
        <v>591</v>
      </c>
      <c r="C275" s="308" t="s">
        <v>100</v>
      </c>
      <c r="D275" s="309" t="s">
        <v>65</v>
      </c>
      <c r="E275" s="309" t="s">
        <v>59</v>
      </c>
      <c r="F275" s="364" t="s">
        <v>593</v>
      </c>
      <c r="G275" s="311"/>
      <c r="H275" s="305">
        <f>H276</f>
        <v>9268.6</v>
      </c>
      <c r="I275" s="305">
        <f>I276</f>
        <v>9268.6</v>
      </c>
    </row>
    <row r="276" spans="1:9" ht="37.5">
      <c r="A276" s="291"/>
      <c r="B276" s="363" t="s">
        <v>225</v>
      </c>
      <c r="C276" s="308" t="s">
        <v>100</v>
      </c>
      <c r="D276" s="309" t="s">
        <v>65</v>
      </c>
      <c r="E276" s="309" t="s">
        <v>59</v>
      </c>
      <c r="F276" s="364" t="s">
        <v>593</v>
      </c>
      <c r="G276" s="311" t="s">
        <v>226</v>
      </c>
      <c r="H276" s="305">
        <f>'прил13(ведом 22-23)'!M264</f>
        <v>9268.6</v>
      </c>
      <c r="I276" s="305">
        <f>'прил13(ведом 22-23)'!N264</f>
        <v>9268.6</v>
      </c>
    </row>
    <row r="277" spans="1:9" ht="37.5">
      <c r="A277" s="291"/>
      <c r="B277" s="304" t="s">
        <v>251</v>
      </c>
      <c r="C277" s="744" t="s">
        <v>100</v>
      </c>
      <c r="D277" s="745" t="s">
        <v>65</v>
      </c>
      <c r="E277" s="745" t="s">
        <v>84</v>
      </c>
      <c r="F277" s="746" t="s">
        <v>64</v>
      </c>
      <c r="G277" s="150"/>
      <c r="H277" s="305">
        <f>H278+H281+H284</f>
        <v>7591.7</v>
      </c>
      <c r="I277" s="305">
        <f>I278+I281+I284</f>
        <v>7591.7</v>
      </c>
    </row>
    <row r="278" spans="1:9" ht="75">
      <c r="A278" s="291"/>
      <c r="B278" s="304" t="s">
        <v>253</v>
      </c>
      <c r="C278" s="744" t="s">
        <v>100</v>
      </c>
      <c r="D278" s="745" t="s">
        <v>65</v>
      </c>
      <c r="E278" s="745" t="s">
        <v>84</v>
      </c>
      <c r="F278" s="746" t="s">
        <v>346</v>
      </c>
      <c r="G278" s="150"/>
      <c r="H278" s="305">
        <f>SUM(H279:H280)</f>
        <v>6084</v>
      </c>
      <c r="I278" s="305">
        <f>SUM(I279:I280)</f>
        <v>6084</v>
      </c>
    </row>
    <row r="279" spans="1:9" ht="93.75">
      <c r="A279" s="291"/>
      <c r="B279" s="304" t="s">
        <v>69</v>
      </c>
      <c r="C279" s="744" t="s">
        <v>100</v>
      </c>
      <c r="D279" s="745" t="s">
        <v>65</v>
      </c>
      <c r="E279" s="745" t="s">
        <v>84</v>
      </c>
      <c r="F279" s="746" t="s">
        <v>346</v>
      </c>
      <c r="G279" s="150" t="s">
        <v>70</v>
      </c>
      <c r="H279" s="305">
        <f>'прил13(ведом 22-23)'!M544</f>
        <v>5725.5</v>
      </c>
      <c r="I279" s="305">
        <f>'прил13(ведом 22-23)'!N544</f>
        <v>5725.5</v>
      </c>
    </row>
    <row r="280" spans="1:9" ht="37.5">
      <c r="A280" s="291"/>
      <c r="B280" s="304" t="s">
        <v>75</v>
      </c>
      <c r="C280" s="365" t="s">
        <v>100</v>
      </c>
      <c r="D280" s="366" t="s">
        <v>65</v>
      </c>
      <c r="E280" s="366" t="s">
        <v>84</v>
      </c>
      <c r="F280" s="367" t="s">
        <v>346</v>
      </c>
      <c r="G280" s="150" t="s">
        <v>76</v>
      </c>
      <c r="H280" s="305">
        <f>'прил13(ведом 22-23)'!M545</f>
        <v>358.5</v>
      </c>
      <c r="I280" s="305">
        <f>'прил13(ведом 22-23)'!N545</f>
        <v>358.5</v>
      </c>
    </row>
    <row r="281" spans="1:9" ht="93.75">
      <c r="A281" s="291"/>
      <c r="B281" s="579" t="s">
        <v>794</v>
      </c>
      <c r="C281" s="744" t="s">
        <v>100</v>
      </c>
      <c r="D281" s="745" t="s">
        <v>65</v>
      </c>
      <c r="E281" s="745" t="s">
        <v>84</v>
      </c>
      <c r="F281" s="746" t="s">
        <v>347</v>
      </c>
      <c r="G281" s="150"/>
      <c r="H281" s="305">
        <f>SUM(H282:H283)</f>
        <v>636.69999999999993</v>
      </c>
      <c r="I281" s="305">
        <f>SUM(I282:I283)</f>
        <v>636.69999999999993</v>
      </c>
    </row>
    <row r="282" spans="1:9" ht="93.75">
      <c r="A282" s="291"/>
      <c r="B282" s="304" t="s">
        <v>69</v>
      </c>
      <c r="C282" s="744" t="s">
        <v>100</v>
      </c>
      <c r="D282" s="745" t="s">
        <v>65</v>
      </c>
      <c r="E282" s="745" t="s">
        <v>84</v>
      </c>
      <c r="F282" s="746" t="s">
        <v>347</v>
      </c>
      <c r="G282" s="150" t="s">
        <v>70</v>
      </c>
      <c r="H282" s="305">
        <f>'прил13(ведом 22-23)'!M547</f>
        <v>607.29999999999995</v>
      </c>
      <c r="I282" s="305">
        <f>'прил13(ведом 22-23)'!N547</f>
        <v>607.29999999999995</v>
      </c>
    </row>
    <row r="283" spans="1:9" ht="37.5">
      <c r="A283" s="291"/>
      <c r="B283" s="304" t="s">
        <v>75</v>
      </c>
      <c r="C283" s="744" t="s">
        <v>100</v>
      </c>
      <c r="D283" s="745" t="s">
        <v>65</v>
      </c>
      <c r="E283" s="745" t="s">
        <v>84</v>
      </c>
      <c r="F283" s="746" t="s">
        <v>347</v>
      </c>
      <c r="G283" s="150" t="s">
        <v>76</v>
      </c>
      <c r="H283" s="305">
        <f>'прил13(ведом 22-23)'!M548</f>
        <v>29.4</v>
      </c>
      <c r="I283" s="305">
        <f>'прил13(ведом 22-23)'!N548</f>
        <v>29.4</v>
      </c>
    </row>
    <row r="284" spans="1:9" ht="18.75">
      <c r="A284" s="291"/>
      <c r="B284" s="304" t="s">
        <v>254</v>
      </c>
      <c r="C284" s="744" t="s">
        <v>100</v>
      </c>
      <c r="D284" s="745" t="s">
        <v>65</v>
      </c>
      <c r="E284" s="745" t="s">
        <v>84</v>
      </c>
      <c r="F284" s="746" t="s">
        <v>348</v>
      </c>
      <c r="G284" s="150"/>
      <c r="H284" s="305">
        <f>H285+H286</f>
        <v>871</v>
      </c>
      <c r="I284" s="305">
        <f>I285+I286</f>
        <v>871</v>
      </c>
    </row>
    <row r="285" spans="1:9" ht="93.75">
      <c r="A285" s="291"/>
      <c r="B285" s="304" t="s">
        <v>69</v>
      </c>
      <c r="C285" s="744" t="s">
        <v>100</v>
      </c>
      <c r="D285" s="745" t="s">
        <v>65</v>
      </c>
      <c r="E285" s="745" t="s">
        <v>84</v>
      </c>
      <c r="F285" s="746" t="s">
        <v>348</v>
      </c>
      <c r="G285" s="150" t="s">
        <v>70</v>
      </c>
      <c r="H285" s="305">
        <f>'прил13(ведом 22-23)'!M550</f>
        <v>808.2</v>
      </c>
      <c r="I285" s="305">
        <f>'прил13(ведом 22-23)'!N550</f>
        <v>808.2</v>
      </c>
    </row>
    <row r="286" spans="1:9" ht="37.5">
      <c r="A286" s="291"/>
      <c r="B286" s="304" t="s">
        <v>75</v>
      </c>
      <c r="C286" s="744" t="s">
        <v>100</v>
      </c>
      <c r="D286" s="745" t="s">
        <v>65</v>
      </c>
      <c r="E286" s="745" t="s">
        <v>84</v>
      </c>
      <c r="F286" s="746" t="s">
        <v>348</v>
      </c>
      <c r="G286" s="150" t="s">
        <v>76</v>
      </c>
      <c r="H286" s="305">
        <f>'прил13(ведом 22-23)'!M551</f>
        <v>62.8</v>
      </c>
      <c r="I286" s="305">
        <f>'прил13(ведом 22-23)'!N551</f>
        <v>62.8</v>
      </c>
    </row>
    <row r="287" spans="1:9" ht="77.25" customHeight="1">
      <c r="A287" s="291"/>
      <c r="B287" s="167" t="s">
        <v>756</v>
      </c>
      <c r="C287" s="744" t="s">
        <v>100</v>
      </c>
      <c r="D287" s="745" t="s">
        <v>65</v>
      </c>
      <c r="E287" s="745" t="s">
        <v>72</v>
      </c>
      <c r="F287" s="746" t="s">
        <v>64</v>
      </c>
      <c r="G287" s="150"/>
      <c r="H287" s="305">
        <f>H288</f>
        <v>552</v>
      </c>
      <c r="I287" s="305">
        <f>I288</f>
        <v>552</v>
      </c>
    </row>
    <row r="288" spans="1:9" ht="75">
      <c r="A288" s="291"/>
      <c r="B288" s="167" t="s">
        <v>749</v>
      </c>
      <c r="C288" s="744" t="s">
        <v>100</v>
      </c>
      <c r="D288" s="745" t="s">
        <v>65</v>
      </c>
      <c r="E288" s="745" t="s">
        <v>72</v>
      </c>
      <c r="F288" s="746" t="s">
        <v>433</v>
      </c>
      <c r="G288" s="150"/>
      <c r="H288" s="305">
        <f>H289</f>
        <v>552</v>
      </c>
      <c r="I288" s="305">
        <f>I289</f>
        <v>552</v>
      </c>
    </row>
    <row r="289" spans="1:9" ht="26.25" customHeight="1">
      <c r="A289" s="291"/>
      <c r="B289" s="168" t="s">
        <v>141</v>
      </c>
      <c r="C289" s="744" t="s">
        <v>100</v>
      </c>
      <c r="D289" s="745" t="s">
        <v>65</v>
      </c>
      <c r="E289" s="745" t="s">
        <v>72</v>
      </c>
      <c r="F289" s="746" t="s">
        <v>433</v>
      </c>
      <c r="G289" s="150" t="s">
        <v>142</v>
      </c>
      <c r="H289" s="305">
        <f>'прил13(ведом 22-23)'!M162</f>
        <v>552</v>
      </c>
      <c r="I289" s="305">
        <f>'прил13(ведом 22-23)'!N162</f>
        <v>552</v>
      </c>
    </row>
    <row r="290" spans="1:9" ht="18.75">
      <c r="A290" s="291"/>
      <c r="B290" s="168"/>
      <c r="C290" s="745"/>
      <c r="D290" s="745"/>
      <c r="E290" s="745"/>
      <c r="F290" s="746"/>
      <c r="G290" s="150"/>
      <c r="H290" s="305"/>
      <c r="I290" s="305"/>
    </row>
    <row r="291" spans="1:9" ht="75">
      <c r="A291" s="314">
        <v>9</v>
      </c>
      <c r="B291" s="488" t="s">
        <v>397</v>
      </c>
      <c r="C291" s="489" t="s">
        <v>125</v>
      </c>
      <c r="D291" s="490" t="s">
        <v>62</v>
      </c>
      <c r="E291" s="490" t="s">
        <v>63</v>
      </c>
      <c r="F291" s="491" t="s">
        <v>64</v>
      </c>
      <c r="G291" s="402"/>
      <c r="H291" s="302">
        <f>H292+H296</f>
        <v>12354.9</v>
      </c>
      <c r="I291" s="302">
        <f>I292+I296</f>
        <v>25766.9</v>
      </c>
    </row>
    <row r="292" spans="1:9" ht="37.5">
      <c r="A292" s="291"/>
      <c r="B292" s="358" t="s">
        <v>399</v>
      </c>
      <c r="C292" s="308" t="s">
        <v>125</v>
      </c>
      <c r="D292" s="309" t="s">
        <v>65</v>
      </c>
      <c r="E292" s="309" t="s">
        <v>63</v>
      </c>
      <c r="F292" s="364" t="s">
        <v>64</v>
      </c>
      <c r="G292" s="311"/>
      <c r="H292" s="305">
        <f t="shared" ref="H292:I294" si="5">H293</f>
        <v>12354.9</v>
      </c>
      <c r="I292" s="305">
        <f t="shared" si="5"/>
        <v>0</v>
      </c>
    </row>
    <row r="293" spans="1:9" ht="56.25">
      <c r="A293" s="291"/>
      <c r="B293" s="358" t="s">
        <v>460</v>
      </c>
      <c r="C293" s="308" t="s">
        <v>125</v>
      </c>
      <c r="D293" s="309" t="s">
        <v>65</v>
      </c>
      <c r="E293" s="309" t="s">
        <v>57</v>
      </c>
      <c r="F293" s="364" t="s">
        <v>64</v>
      </c>
      <c r="G293" s="311"/>
      <c r="H293" s="305">
        <f t="shared" si="5"/>
        <v>12354.9</v>
      </c>
      <c r="I293" s="305">
        <f t="shared" si="5"/>
        <v>0</v>
      </c>
    </row>
    <row r="294" spans="1:9" ht="56.25">
      <c r="A294" s="291"/>
      <c r="B294" s="801" t="s">
        <v>1015</v>
      </c>
      <c r="C294" s="308" t="s">
        <v>125</v>
      </c>
      <c r="D294" s="309" t="s">
        <v>65</v>
      </c>
      <c r="E294" s="309" t="s">
        <v>57</v>
      </c>
      <c r="F294" s="364" t="s">
        <v>590</v>
      </c>
      <c r="G294" s="311"/>
      <c r="H294" s="305">
        <f t="shared" si="5"/>
        <v>12354.9</v>
      </c>
      <c r="I294" s="305">
        <f t="shared" si="5"/>
        <v>0</v>
      </c>
    </row>
    <row r="295" spans="1:9" ht="37.5">
      <c r="A295" s="291"/>
      <c r="B295" s="358" t="s">
        <v>225</v>
      </c>
      <c r="C295" s="308" t="s">
        <v>125</v>
      </c>
      <c r="D295" s="309" t="s">
        <v>65</v>
      </c>
      <c r="E295" s="309" t="s">
        <v>57</v>
      </c>
      <c r="F295" s="364" t="s">
        <v>590</v>
      </c>
      <c r="G295" s="311" t="s">
        <v>226</v>
      </c>
      <c r="H295" s="305">
        <f>'прил13(ведом 22-23)'!M255</f>
        <v>12354.9</v>
      </c>
      <c r="I295" s="305">
        <f>'прил13(ведом 22-23)'!N255</f>
        <v>0</v>
      </c>
    </row>
    <row r="296" spans="1:9" ht="37.5">
      <c r="A296" s="291"/>
      <c r="B296" s="622" t="s">
        <v>881</v>
      </c>
      <c r="C296" s="744" t="s">
        <v>125</v>
      </c>
      <c r="D296" s="745" t="s">
        <v>882</v>
      </c>
      <c r="E296" s="745" t="s">
        <v>63</v>
      </c>
      <c r="F296" s="746" t="s">
        <v>64</v>
      </c>
      <c r="G296" s="415"/>
      <c r="H296" s="305">
        <f>H297</f>
        <v>0</v>
      </c>
      <c r="I296" s="305">
        <f>I297</f>
        <v>25766.9</v>
      </c>
    </row>
    <row r="297" spans="1:9" ht="56.25">
      <c r="A297" s="291"/>
      <c r="B297" s="164" t="s">
        <v>826</v>
      </c>
      <c r="C297" s="744" t="s">
        <v>125</v>
      </c>
      <c r="D297" s="745" t="s">
        <v>882</v>
      </c>
      <c r="E297" s="745" t="s">
        <v>823</v>
      </c>
      <c r="F297" s="746" t="s">
        <v>64</v>
      </c>
      <c r="G297" s="415"/>
      <c r="H297" s="305">
        <f>H298+H300</f>
        <v>0</v>
      </c>
      <c r="I297" s="305">
        <f>I298+I300</f>
        <v>25766.9</v>
      </c>
    </row>
    <row r="298" spans="1:9" ht="93.75">
      <c r="A298" s="291"/>
      <c r="B298" s="164" t="s">
        <v>827</v>
      </c>
      <c r="C298" s="744" t="s">
        <v>125</v>
      </c>
      <c r="D298" s="745" t="s">
        <v>882</v>
      </c>
      <c r="E298" s="745" t="s">
        <v>823</v>
      </c>
      <c r="F298" s="746" t="s">
        <v>824</v>
      </c>
      <c r="G298" s="415"/>
      <c r="H298" s="305">
        <f>H299</f>
        <v>0</v>
      </c>
      <c r="I298" s="305">
        <f>I299</f>
        <v>20613.5</v>
      </c>
    </row>
    <row r="299" spans="1:9" ht="37.5">
      <c r="A299" s="291"/>
      <c r="B299" s="164" t="s">
        <v>225</v>
      </c>
      <c r="C299" s="744" t="s">
        <v>125</v>
      </c>
      <c r="D299" s="745" t="s">
        <v>882</v>
      </c>
      <c r="E299" s="745" t="s">
        <v>823</v>
      </c>
      <c r="F299" s="746" t="s">
        <v>824</v>
      </c>
      <c r="G299" s="415" t="s">
        <v>226</v>
      </c>
      <c r="H299" s="305">
        <f>'прил13(ведом 22-23)'!M153</f>
        <v>0</v>
      </c>
      <c r="I299" s="305">
        <f>'прил13(ведом 22-23)'!N153</f>
        <v>20613.5</v>
      </c>
    </row>
    <row r="300" spans="1:9" ht="93.75">
      <c r="A300" s="291"/>
      <c r="B300" s="164" t="s">
        <v>827</v>
      </c>
      <c r="C300" s="744" t="s">
        <v>125</v>
      </c>
      <c r="D300" s="745" t="s">
        <v>882</v>
      </c>
      <c r="E300" s="745" t="s">
        <v>823</v>
      </c>
      <c r="F300" s="746" t="s">
        <v>825</v>
      </c>
      <c r="G300" s="415"/>
      <c r="H300" s="305">
        <f>H301</f>
        <v>0</v>
      </c>
      <c r="I300" s="305">
        <f>I301</f>
        <v>5153.3999999999996</v>
      </c>
    </row>
    <row r="301" spans="1:9" ht="37.5">
      <c r="A301" s="291"/>
      <c r="B301" s="363" t="s">
        <v>225</v>
      </c>
      <c r="C301" s="744" t="s">
        <v>125</v>
      </c>
      <c r="D301" s="745" t="s">
        <v>882</v>
      </c>
      <c r="E301" s="745" t="s">
        <v>823</v>
      </c>
      <c r="F301" s="746" t="s">
        <v>825</v>
      </c>
      <c r="G301" s="415" t="s">
        <v>226</v>
      </c>
      <c r="H301" s="305">
        <f>'прил13(ведом 22-23)'!M155</f>
        <v>0</v>
      </c>
      <c r="I301" s="305">
        <f>'прил13(ведом 22-23)'!N155</f>
        <v>5153.3999999999996</v>
      </c>
    </row>
    <row r="302" spans="1:9" ht="18.75">
      <c r="A302" s="291"/>
      <c r="B302" s="168"/>
      <c r="C302" s="745"/>
      <c r="D302" s="745"/>
      <c r="E302" s="745"/>
      <c r="F302" s="746"/>
      <c r="G302" s="150"/>
      <c r="H302" s="305"/>
      <c r="I302" s="305"/>
    </row>
    <row r="303" spans="1:9" s="303" customFormat="1" ht="56.25">
      <c r="A303" s="314">
        <v>10</v>
      </c>
      <c r="B303" s="327" t="s">
        <v>115</v>
      </c>
      <c r="C303" s="315" t="s">
        <v>88</v>
      </c>
      <c r="D303" s="315" t="s">
        <v>62</v>
      </c>
      <c r="E303" s="315" t="s">
        <v>63</v>
      </c>
      <c r="F303" s="316" t="s">
        <v>64</v>
      </c>
      <c r="G303" s="368"/>
      <c r="H303" s="302">
        <f>H304</f>
        <v>11258.5</v>
      </c>
      <c r="I303" s="302">
        <f>I304</f>
        <v>11258.5</v>
      </c>
    </row>
    <row r="304" spans="1:9" ht="18.75" customHeight="1">
      <c r="A304" s="291"/>
      <c r="B304" s="304" t="s">
        <v>404</v>
      </c>
      <c r="C304" s="744" t="s">
        <v>88</v>
      </c>
      <c r="D304" s="745" t="s">
        <v>65</v>
      </c>
      <c r="E304" s="745" t="s">
        <v>63</v>
      </c>
      <c r="F304" s="746" t="s">
        <v>64</v>
      </c>
      <c r="G304" s="323"/>
      <c r="H304" s="305">
        <f>H305+H308</f>
        <v>11258.5</v>
      </c>
      <c r="I304" s="305">
        <f>I305+I308</f>
        <v>11258.5</v>
      </c>
    </row>
    <row r="305" spans="1:9" ht="37.5">
      <c r="A305" s="291"/>
      <c r="B305" s="304" t="s">
        <v>116</v>
      </c>
      <c r="C305" s="744" t="s">
        <v>88</v>
      </c>
      <c r="D305" s="745" t="s">
        <v>65</v>
      </c>
      <c r="E305" s="745" t="s">
        <v>57</v>
      </c>
      <c r="F305" s="746" t="s">
        <v>64</v>
      </c>
      <c r="G305" s="323"/>
      <c r="H305" s="305">
        <f>H306</f>
        <v>11070.6</v>
      </c>
      <c r="I305" s="305">
        <f>I306</f>
        <v>11070.6</v>
      </c>
    </row>
    <row r="306" spans="1:9" ht="56.25">
      <c r="A306" s="291"/>
      <c r="B306" s="196" t="s">
        <v>583</v>
      </c>
      <c r="C306" s="744" t="s">
        <v>88</v>
      </c>
      <c r="D306" s="745" t="s">
        <v>65</v>
      </c>
      <c r="E306" s="745" t="s">
        <v>57</v>
      </c>
      <c r="F306" s="746" t="s">
        <v>82</v>
      </c>
      <c r="G306" s="150"/>
      <c r="H306" s="305">
        <f>H307</f>
        <v>11070.6</v>
      </c>
      <c r="I306" s="305">
        <f>I307</f>
        <v>11070.6</v>
      </c>
    </row>
    <row r="307" spans="1:9" ht="18.75">
      <c r="A307" s="291"/>
      <c r="B307" s="304" t="s">
        <v>77</v>
      </c>
      <c r="C307" s="744" t="s">
        <v>88</v>
      </c>
      <c r="D307" s="745" t="s">
        <v>65</v>
      </c>
      <c r="E307" s="745" t="s">
        <v>57</v>
      </c>
      <c r="F307" s="746" t="s">
        <v>82</v>
      </c>
      <c r="G307" s="150" t="s">
        <v>78</v>
      </c>
      <c r="H307" s="305">
        <f>'прил13(ведом 22-23)'!M114</f>
        <v>11070.6</v>
      </c>
      <c r="I307" s="305">
        <f>'прил13(ведом 22-23)'!N114</f>
        <v>11070.6</v>
      </c>
    </row>
    <row r="308" spans="1:9" ht="56.25">
      <c r="A308" s="291"/>
      <c r="B308" s="304" t="s">
        <v>117</v>
      </c>
      <c r="C308" s="744" t="s">
        <v>88</v>
      </c>
      <c r="D308" s="745" t="s">
        <v>65</v>
      </c>
      <c r="E308" s="745" t="s">
        <v>59</v>
      </c>
      <c r="F308" s="746" t="s">
        <v>64</v>
      </c>
      <c r="G308" s="150"/>
      <c r="H308" s="305">
        <f>H309</f>
        <v>187.9</v>
      </c>
      <c r="I308" s="305">
        <f>I309</f>
        <v>187.9</v>
      </c>
    </row>
    <row r="309" spans="1:9" ht="18.75">
      <c r="A309" s="291"/>
      <c r="B309" s="164" t="s">
        <v>689</v>
      </c>
      <c r="C309" s="744" t="s">
        <v>88</v>
      </c>
      <c r="D309" s="745" t="s">
        <v>65</v>
      </c>
      <c r="E309" s="745" t="s">
        <v>59</v>
      </c>
      <c r="F309" s="746" t="s">
        <v>118</v>
      </c>
      <c r="G309" s="150"/>
      <c r="H309" s="305">
        <f>H310</f>
        <v>187.9</v>
      </c>
      <c r="I309" s="305">
        <f>I310</f>
        <v>187.9</v>
      </c>
    </row>
    <row r="310" spans="1:9" ht="37.5">
      <c r="A310" s="291"/>
      <c r="B310" s="304" t="s">
        <v>75</v>
      </c>
      <c r="C310" s="744" t="s">
        <v>88</v>
      </c>
      <c r="D310" s="745" t="s">
        <v>65</v>
      </c>
      <c r="E310" s="745" t="s">
        <v>59</v>
      </c>
      <c r="F310" s="746" t="s">
        <v>118</v>
      </c>
      <c r="G310" s="150" t="s">
        <v>76</v>
      </c>
      <c r="H310" s="305">
        <f>'прил13(ведом 22-23)'!M117</f>
        <v>187.9</v>
      </c>
      <c r="I310" s="305">
        <f>'прил13(ведом 22-23)'!N117</f>
        <v>187.9</v>
      </c>
    </row>
    <row r="311" spans="1:9" ht="18.75">
      <c r="A311" s="291"/>
      <c r="B311" s="313"/>
      <c r="C311" s="739"/>
      <c r="D311" s="739"/>
      <c r="E311" s="739"/>
      <c r="F311" s="740"/>
      <c r="G311" s="289"/>
      <c r="H311" s="305"/>
      <c r="I311" s="305"/>
    </row>
    <row r="312" spans="1:9" s="303" customFormat="1" ht="56.25">
      <c r="A312" s="314">
        <v>11</v>
      </c>
      <c r="B312" s="327" t="s">
        <v>120</v>
      </c>
      <c r="C312" s="315" t="s">
        <v>121</v>
      </c>
      <c r="D312" s="315" t="s">
        <v>62</v>
      </c>
      <c r="E312" s="315" t="s">
        <v>63</v>
      </c>
      <c r="F312" s="316" t="s">
        <v>64</v>
      </c>
      <c r="G312" s="301"/>
      <c r="H312" s="302">
        <f t="shared" ref="H312:I315" si="6">H313</f>
        <v>5907.9</v>
      </c>
      <c r="I312" s="302">
        <f t="shared" si="6"/>
        <v>6835.1</v>
      </c>
    </row>
    <row r="313" spans="1:9" s="303" customFormat="1" ht="19.5" customHeight="1">
      <c r="A313" s="291"/>
      <c r="B313" s="304" t="s">
        <v>404</v>
      </c>
      <c r="C313" s="744" t="s">
        <v>121</v>
      </c>
      <c r="D313" s="745" t="s">
        <v>65</v>
      </c>
      <c r="E313" s="745" t="s">
        <v>63</v>
      </c>
      <c r="F313" s="746" t="s">
        <v>64</v>
      </c>
      <c r="G313" s="150"/>
      <c r="H313" s="305">
        <f t="shared" si="6"/>
        <v>5907.9</v>
      </c>
      <c r="I313" s="305">
        <f t="shared" si="6"/>
        <v>6835.1</v>
      </c>
    </row>
    <row r="314" spans="1:9" s="303" customFormat="1" ht="75">
      <c r="A314" s="291"/>
      <c r="B314" s="304" t="s">
        <v>122</v>
      </c>
      <c r="C314" s="744" t="s">
        <v>121</v>
      </c>
      <c r="D314" s="745" t="s">
        <v>65</v>
      </c>
      <c r="E314" s="745" t="s">
        <v>57</v>
      </c>
      <c r="F314" s="746" t="s">
        <v>64</v>
      </c>
      <c r="G314" s="150"/>
      <c r="H314" s="305">
        <f t="shared" si="6"/>
        <v>5907.9</v>
      </c>
      <c r="I314" s="305">
        <f t="shared" si="6"/>
        <v>6835.1</v>
      </c>
    </row>
    <row r="315" spans="1:9" s="303" customFormat="1" ht="75">
      <c r="A315" s="291"/>
      <c r="B315" s="317" t="s">
        <v>123</v>
      </c>
      <c r="C315" s="744" t="s">
        <v>121</v>
      </c>
      <c r="D315" s="745" t="s">
        <v>65</v>
      </c>
      <c r="E315" s="745" t="s">
        <v>57</v>
      </c>
      <c r="F315" s="746" t="s">
        <v>124</v>
      </c>
      <c r="G315" s="150"/>
      <c r="H315" s="305">
        <f t="shared" si="6"/>
        <v>5907.9</v>
      </c>
      <c r="I315" s="305">
        <f t="shared" si="6"/>
        <v>6835.1</v>
      </c>
    </row>
    <row r="316" spans="1:9" ht="37.5">
      <c r="A316" s="291"/>
      <c r="B316" s="304" t="s">
        <v>75</v>
      </c>
      <c r="C316" s="744" t="s">
        <v>121</v>
      </c>
      <c r="D316" s="745" t="s">
        <v>65</v>
      </c>
      <c r="E316" s="745" t="s">
        <v>57</v>
      </c>
      <c r="F316" s="746" t="s">
        <v>124</v>
      </c>
      <c r="G316" s="150" t="s">
        <v>76</v>
      </c>
      <c r="H316" s="305">
        <f>'прил13(ведом 22-23)'!M123</f>
        <v>5907.9</v>
      </c>
      <c r="I316" s="305">
        <f>'прил13(ведом 22-23)'!N123</f>
        <v>6835.1</v>
      </c>
    </row>
    <row r="317" spans="1:9" ht="18.75">
      <c r="A317" s="291"/>
      <c r="B317" s="304"/>
      <c r="C317" s="745"/>
      <c r="D317" s="745"/>
      <c r="E317" s="745"/>
      <c r="F317" s="746"/>
      <c r="G317" s="150"/>
      <c r="H317" s="305"/>
      <c r="I317" s="305"/>
    </row>
    <row r="318" spans="1:9" ht="75">
      <c r="A318" s="314">
        <v>12</v>
      </c>
      <c r="B318" s="158" t="s">
        <v>128</v>
      </c>
      <c r="C318" s="161" t="s">
        <v>92</v>
      </c>
      <c r="D318" s="162" t="s">
        <v>62</v>
      </c>
      <c r="E318" s="162" t="s">
        <v>63</v>
      </c>
      <c r="F318" s="163" t="s">
        <v>64</v>
      </c>
      <c r="G318" s="160"/>
      <c r="H318" s="302">
        <f>H323+H319</f>
        <v>1025.0999999999999</v>
      </c>
      <c r="I318" s="302">
        <f>I323+I319</f>
        <v>1025.0999999999999</v>
      </c>
    </row>
    <row r="319" spans="1:9" ht="37.5">
      <c r="A319" s="314"/>
      <c r="B319" s="169" t="s">
        <v>129</v>
      </c>
      <c r="C319" s="744" t="s">
        <v>92</v>
      </c>
      <c r="D319" s="745" t="s">
        <v>65</v>
      </c>
      <c r="E319" s="745" t="s">
        <v>63</v>
      </c>
      <c r="F319" s="746" t="s">
        <v>64</v>
      </c>
      <c r="G319" s="150"/>
      <c r="H319" s="598">
        <f t="shared" ref="H319:H320" si="7">H320</f>
        <v>310</v>
      </c>
      <c r="I319" s="598">
        <f t="shared" ref="I319:I320" si="8">I320</f>
        <v>310</v>
      </c>
    </row>
    <row r="320" spans="1:9" ht="37.5">
      <c r="A320" s="314"/>
      <c r="B320" s="164" t="s">
        <v>130</v>
      </c>
      <c r="C320" s="744" t="s">
        <v>92</v>
      </c>
      <c r="D320" s="745" t="s">
        <v>65</v>
      </c>
      <c r="E320" s="745" t="s">
        <v>57</v>
      </c>
      <c r="F320" s="746" t="s">
        <v>64</v>
      </c>
      <c r="G320" s="150"/>
      <c r="H320" s="598">
        <f t="shared" si="7"/>
        <v>310</v>
      </c>
      <c r="I320" s="598">
        <f t="shared" si="8"/>
        <v>310</v>
      </c>
    </row>
    <row r="321" spans="1:9" ht="37.5">
      <c r="A321" s="314"/>
      <c r="B321" s="169" t="s">
        <v>131</v>
      </c>
      <c r="C321" s="744" t="s">
        <v>92</v>
      </c>
      <c r="D321" s="745" t="s">
        <v>65</v>
      </c>
      <c r="E321" s="745" t="s">
        <v>57</v>
      </c>
      <c r="F321" s="746" t="s">
        <v>132</v>
      </c>
      <c r="G321" s="150"/>
      <c r="H321" s="598">
        <f>H322</f>
        <v>310</v>
      </c>
      <c r="I321" s="598">
        <f>I322</f>
        <v>310</v>
      </c>
    </row>
    <row r="322" spans="1:9" ht="37.5">
      <c r="A322" s="314"/>
      <c r="B322" s="164" t="s">
        <v>75</v>
      </c>
      <c r="C322" s="744" t="s">
        <v>92</v>
      </c>
      <c r="D322" s="745" t="s">
        <v>65</v>
      </c>
      <c r="E322" s="745" t="s">
        <v>57</v>
      </c>
      <c r="F322" s="746" t="s">
        <v>132</v>
      </c>
      <c r="G322" s="150" t="s">
        <v>76</v>
      </c>
      <c r="H322" s="598">
        <f>'прил13(ведом 22-23)'!M129</f>
        <v>310</v>
      </c>
      <c r="I322" s="598">
        <f>'прил13(ведом 22-23)'!N129</f>
        <v>310</v>
      </c>
    </row>
    <row r="323" spans="1:9" ht="37.5">
      <c r="A323" s="291"/>
      <c r="B323" s="169" t="s">
        <v>133</v>
      </c>
      <c r="C323" s="744" t="s">
        <v>92</v>
      </c>
      <c r="D323" s="745" t="s">
        <v>110</v>
      </c>
      <c r="E323" s="745" t="s">
        <v>63</v>
      </c>
      <c r="F323" s="746" t="s">
        <v>64</v>
      </c>
      <c r="G323" s="150"/>
      <c r="H323" s="305">
        <f t="shared" ref="H323:I325" si="9">H324</f>
        <v>715.1</v>
      </c>
      <c r="I323" s="305">
        <f t="shared" si="9"/>
        <v>715.1</v>
      </c>
    </row>
    <row r="324" spans="1:9" ht="37.5">
      <c r="A324" s="291"/>
      <c r="B324" s="169" t="s">
        <v>134</v>
      </c>
      <c r="C324" s="744" t="s">
        <v>92</v>
      </c>
      <c r="D324" s="745" t="s">
        <v>110</v>
      </c>
      <c r="E324" s="745" t="s">
        <v>57</v>
      </c>
      <c r="F324" s="746" t="s">
        <v>64</v>
      </c>
      <c r="G324" s="150"/>
      <c r="H324" s="305">
        <f t="shared" si="9"/>
        <v>715.1</v>
      </c>
      <c r="I324" s="305">
        <f t="shared" si="9"/>
        <v>715.1</v>
      </c>
    </row>
    <row r="325" spans="1:9" ht="75">
      <c r="A325" s="291"/>
      <c r="B325" s="169" t="s">
        <v>135</v>
      </c>
      <c r="C325" s="744" t="s">
        <v>92</v>
      </c>
      <c r="D325" s="745" t="s">
        <v>110</v>
      </c>
      <c r="E325" s="745" t="s">
        <v>57</v>
      </c>
      <c r="F325" s="746" t="s">
        <v>136</v>
      </c>
      <c r="G325" s="150"/>
      <c r="H325" s="305">
        <f t="shared" si="9"/>
        <v>715.1</v>
      </c>
      <c r="I325" s="305">
        <f t="shared" si="9"/>
        <v>715.1</v>
      </c>
    </row>
    <row r="326" spans="1:9" ht="37.5">
      <c r="A326" s="291"/>
      <c r="B326" s="164" t="s">
        <v>75</v>
      </c>
      <c r="C326" s="744" t="s">
        <v>92</v>
      </c>
      <c r="D326" s="745" t="s">
        <v>110</v>
      </c>
      <c r="E326" s="745" t="s">
        <v>57</v>
      </c>
      <c r="F326" s="746" t="s">
        <v>136</v>
      </c>
      <c r="G326" s="150" t="s">
        <v>76</v>
      </c>
      <c r="H326" s="305">
        <f>'прил13(ведом 22-23)'!M133</f>
        <v>715.1</v>
      </c>
      <c r="I326" s="305">
        <f>'прил13(ведом 22-23)'!N133</f>
        <v>715.1</v>
      </c>
    </row>
    <row r="327" spans="1:9" ht="18.75">
      <c r="A327" s="291"/>
      <c r="B327" s="164"/>
      <c r="C327" s="745"/>
      <c r="D327" s="745"/>
      <c r="E327" s="745"/>
      <c r="F327" s="746"/>
      <c r="G327" s="150"/>
      <c r="H327" s="305"/>
      <c r="I327" s="305"/>
    </row>
    <row r="328" spans="1:9" ht="75">
      <c r="A328" s="314">
        <v>13</v>
      </c>
      <c r="B328" s="158" t="s">
        <v>137</v>
      </c>
      <c r="C328" s="161" t="s">
        <v>109</v>
      </c>
      <c r="D328" s="162" t="s">
        <v>62</v>
      </c>
      <c r="E328" s="162" t="s">
        <v>63</v>
      </c>
      <c r="F328" s="163" t="s">
        <v>64</v>
      </c>
      <c r="G328" s="160"/>
      <c r="H328" s="302">
        <f t="shared" ref="H328:I333" si="10">H329</f>
        <v>891.2</v>
      </c>
      <c r="I328" s="302">
        <f t="shared" si="10"/>
        <v>891.2</v>
      </c>
    </row>
    <row r="329" spans="1:9" ht="30" customHeight="1">
      <c r="A329" s="291"/>
      <c r="B329" s="164" t="s">
        <v>404</v>
      </c>
      <c r="C329" s="744" t="s">
        <v>109</v>
      </c>
      <c r="D329" s="745" t="s">
        <v>65</v>
      </c>
      <c r="E329" s="745" t="s">
        <v>63</v>
      </c>
      <c r="F329" s="746" t="s">
        <v>64</v>
      </c>
      <c r="G329" s="150"/>
      <c r="H329" s="305">
        <f t="shared" si="10"/>
        <v>891.2</v>
      </c>
      <c r="I329" s="305">
        <f t="shared" si="10"/>
        <v>891.2</v>
      </c>
    </row>
    <row r="330" spans="1:9" ht="56.25">
      <c r="A330" s="291"/>
      <c r="B330" s="169" t="s">
        <v>360</v>
      </c>
      <c r="C330" s="744" t="s">
        <v>109</v>
      </c>
      <c r="D330" s="745" t="s">
        <v>65</v>
      </c>
      <c r="E330" s="745" t="s">
        <v>57</v>
      </c>
      <c r="F330" s="746" t="s">
        <v>64</v>
      </c>
      <c r="G330" s="150"/>
      <c r="H330" s="305">
        <f>H333+H331</f>
        <v>891.2</v>
      </c>
      <c r="I330" s="305">
        <f>I333+I331</f>
        <v>891.2</v>
      </c>
    </row>
    <row r="331" spans="1:9" ht="56.25">
      <c r="A331" s="291"/>
      <c r="B331" s="169" t="s">
        <v>138</v>
      </c>
      <c r="C331" s="744" t="s">
        <v>109</v>
      </c>
      <c r="D331" s="745" t="s">
        <v>65</v>
      </c>
      <c r="E331" s="745" t="s">
        <v>57</v>
      </c>
      <c r="F331" s="746" t="s">
        <v>139</v>
      </c>
      <c r="G331" s="150"/>
      <c r="H331" s="305">
        <f>H332</f>
        <v>112.2</v>
      </c>
      <c r="I331" s="305">
        <f>I332</f>
        <v>112.2</v>
      </c>
    </row>
    <row r="332" spans="1:9" ht="37.5">
      <c r="A332" s="291"/>
      <c r="B332" s="164" t="s">
        <v>75</v>
      </c>
      <c r="C332" s="744" t="s">
        <v>109</v>
      </c>
      <c r="D332" s="745" t="s">
        <v>65</v>
      </c>
      <c r="E332" s="745" t="s">
        <v>57</v>
      </c>
      <c r="F332" s="746" t="s">
        <v>139</v>
      </c>
      <c r="G332" s="150" t="s">
        <v>76</v>
      </c>
      <c r="H332" s="305">
        <f>'прил13(ведом 22-23)'!M138</f>
        <v>112.2</v>
      </c>
      <c r="I332" s="305">
        <f>'прил13(ведом 22-23)'!N138</f>
        <v>112.2</v>
      </c>
    </row>
    <row r="333" spans="1:9" ht="56.25">
      <c r="A333" s="291"/>
      <c r="B333" s="164" t="s">
        <v>497</v>
      </c>
      <c r="C333" s="744" t="s">
        <v>109</v>
      </c>
      <c r="D333" s="745" t="s">
        <v>65</v>
      </c>
      <c r="E333" s="745" t="s">
        <v>57</v>
      </c>
      <c r="F333" s="746" t="s">
        <v>496</v>
      </c>
      <c r="G333" s="150"/>
      <c r="H333" s="305">
        <f t="shared" si="10"/>
        <v>779</v>
      </c>
      <c r="I333" s="305">
        <f t="shared" si="10"/>
        <v>779</v>
      </c>
    </row>
    <row r="334" spans="1:9" ht="37.5">
      <c r="A334" s="291"/>
      <c r="B334" s="164" t="s">
        <v>75</v>
      </c>
      <c r="C334" s="744" t="s">
        <v>109</v>
      </c>
      <c r="D334" s="745" t="s">
        <v>65</v>
      </c>
      <c r="E334" s="745" t="s">
        <v>57</v>
      </c>
      <c r="F334" s="746" t="s">
        <v>496</v>
      </c>
      <c r="G334" s="150" t="s">
        <v>76</v>
      </c>
      <c r="H334" s="305">
        <f>'прил13(ведом 22-23)'!M140</f>
        <v>779</v>
      </c>
      <c r="I334" s="305">
        <f>'прил13(ведом 22-23)'!N140</f>
        <v>779</v>
      </c>
    </row>
    <row r="335" spans="1:9" ht="18.75">
      <c r="A335" s="291"/>
      <c r="B335" s="164"/>
      <c r="C335" s="745"/>
      <c r="D335" s="745"/>
      <c r="E335" s="745"/>
      <c r="F335" s="746"/>
      <c r="G335" s="150"/>
      <c r="H335" s="305"/>
      <c r="I335" s="305"/>
    </row>
    <row r="336" spans="1:9" ht="75">
      <c r="A336" s="314">
        <v>14</v>
      </c>
      <c r="B336" s="327" t="s">
        <v>93</v>
      </c>
      <c r="C336" s="315" t="s">
        <v>94</v>
      </c>
      <c r="D336" s="315" t="s">
        <v>62</v>
      </c>
      <c r="E336" s="315" t="s">
        <v>63</v>
      </c>
      <c r="F336" s="316" t="s">
        <v>64</v>
      </c>
      <c r="G336" s="301"/>
      <c r="H336" s="305">
        <f t="shared" ref="H336:I339" si="11">H337</f>
        <v>1220.5999999999999</v>
      </c>
      <c r="I336" s="305">
        <f t="shared" si="11"/>
        <v>1220.5999999999999</v>
      </c>
    </row>
    <row r="337" spans="1:9" ht="26.25" customHeight="1">
      <c r="A337" s="291"/>
      <c r="B337" s="304" t="s">
        <v>404</v>
      </c>
      <c r="C337" s="744" t="s">
        <v>94</v>
      </c>
      <c r="D337" s="745" t="s">
        <v>65</v>
      </c>
      <c r="E337" s="745" t="s">
        <v>63</v>
      </c>
      <c r="F337" s="746" t="s">
        <v>64</v>
      </c>
      <c r="G337" s="150"/>
      <c r="H337" s="305">
        <f t="shared" si="11"/>
        <v>1220.5999999999999</v>
      </c>
      <c r="I337" s="305">
        <f t="shared" si="11"/>
        <v>1220.5999999999999</v>
      </c>
    </row>
    <row r="338" spans="1:9" ht="37.5">
      <c r="A338" s="291"/>
      <c r="B338" s="318" t="s">
        <v>306</v>
      </c>
      <c r="C338" s="744" t="s">
        <v>94</v>
      </c>
      <c r="D338" s="745" t="s">
        <v>65</v>
      </c>
      <c r="E338" s="745" t="s">
        <v>57</v>
      </c>
      <c r="F338" s="746" t="s">
        <v>64</v>
      </c>
      <c r="G338" s="150"/>
      <c r="H338" s="305">
        <f t="shared" si="11"/>
        <v>1220.5999999999999</v>
      </c>
      <c r="I338" s="305">
        <f t="shared" si="11"/>
        <v>1220.5999999999999</v>
      </c>
    </row>
    <row r="339" spans="1:9" ht="37.5">
      <c r="A339" s="291"/>
      <c r="B339" s="318" t="s">
        <v>95</v>
      </c>
      <c r="C339" s="744" t="s">
        <v>94</v>
      </c>
      <c r="D339" s="745" t="s">
        <v>65</v>
      </c>
      <c r="E339" s="745" t="s">
        <v>57</v>
      </c>
      <c r="F339" s="746" t="s">
        <v>96</v>
      </c>
      <c r="G339" s="150"/>
      <c r="H339" s="305">
        <f t="shared" si="11"/>
        <v>1220.5999999999999</v>
      </c>
      <c r="I339" s="305">
        <f t="shared" si="11"/>
        <v>1220.5999999999999</v>
      </c>
    </row>
    <row r="340" spans="1:9" ht="41.25" customHeight="1">
      <c r="A340" s="291"/>
      <c r="B340" s="306" t="s">
        <v>97</v>
      </c>
      <c r="C340" s="744" t="s">
        <v>94</v>
      </c>
      <c r="D340" s="745" t="s">
        <v>65</v>
      </c>
      <c r="E340" s="745" t="s">
        <v>57</v>
      </c>
      <c r="F340" s="746" t="s">
        <v>96</v>
      </c>
      <c r="G340" s="150" t="s">
        <v>98</v>
      </c>
      <c r="H340" s="305">
        <f>'прил13(ведом 22-23)'!M64+'прил13(ведом 22-23)'!M168</f>
        <v>1220.5999999999999</v>
      </c>
      <c r="I340" s="305">
        <f>'прил13(ведом 22-23)'!N64+'прил13(ведом 22-23)'!N168</f>
        <v>1220.5999999999999</v>
      </c>
    </row>
    <row r="341" spans="1:9" ht="18.75">
      <c r="A341" s="291"/>
      <c r="B341" s="313"/>
      <c r="C341" s="739"/>
      <c r="D341" s="739"/>
      <c r="E341" s="739"/>
      <c r="F341" s="740"/>
      <c r="G341" s="289"/>
      <c r="H341" s="305"/>
      <c r="I341" s="305"/>
    </row>
    <row r="342" spans="1:9" s="303" customFormat="1" ht="56.25">
      <c r="A342" s="314">
        <v>15</v>
      </c>
      <c r="B342" s="327" t="s">
        <v>60</v>
      </c>
      <c r="C342" s="315" t="s">
        <v>61</v>
      </c>
      <c r="D342" s="315" t="s">
        <v>62</v>
      </c>
      <c r="E342" s="315" t="s">
        <v>63</v>
      </c>
      <c r="F342" s="316" t="s">
        <v>64</v>
      </c>
      <c r="G342" s="301"/>
      <c r="H342" s="302">
        <f>H343</f>
        <v>87929.099999999977</v>
      </c>
      <c r="I342" s="302">
        <f>I343</f>
        <v>87904.699999999983</v>
      </c>
    </row>
    <row r="343" spans="1:9" s="303" customFormat="1" ht="24.75" customHeight="1">
      <c r="A343" s="291"/>
      <c r="B343" s="304" t="s">
        <v>404</v>
      </c>
      <c r="C343" s="744" t="s">
        <v>61</v>
      </c>
      <c r="D343" s="745" t="s">
        <v>65</v>
      </c>
      <c r="E343" s="745" t="s">
        <v>63</v>
      </c>
      <c r="F343" s="746" t="s">
        <v>64</v>
      </c>
      <c r="G343" s="150"/>
      <c r="H343" s="305">
        <f>H344+H347+H377+H385+H366+H382+H372+H389+H392</f>
        <v>87929.099999999977</v>
      </c>
      <c r="I343" s="305">
        <f>I344+I347+I377+I385+I366+I382+I372+I389+I392</f>
        <v>87904.699999999983</v>
      </c>
    </row>
    <row r="344" spans="1:9" s="303" customFormat="1" ht="37.5">
      <c r="A344" s="291"/>
      <c r="B344" s="304" t="s">
        <v>66</v>
      </c>
      <c r="C344" s="744" t="s">
        <v>61</v>
      </c>
      <c r="D344" s="745" t="s">
        <v>65</v>
      </c>
      <c r="E344" s="745" t="s">
        <v>57</v>
      </c>
      <c r="F344" s="746" t="s">
        <v>64</v>
      </c>
      <c r="G344" s="150"/>
      <c r="H344" s="305">
        <f>H345</f>
        <v>2128.5</v>
      </c>
      <c r="I344" s="305">
        <f>I345</f>
        <v>2128.5</v>
      </c>
    </row>
    <row r="345" spans="1:9" s="303" customFormat="1" ht="37.5">
      <c r="A345" s="291"/>
      <c r="B345" s="304" t="s">
        <v>67</v>
      </c>
      <c r="C345" s="744" t="s">
        <v>61</v>
      </c>
      <c r="D345" s="745" t="s">
        <v>65</v>
      </c>
      <c r="E345" s="745" t="s">
        <v>57</v>
      </c>
      <c r="F345" s="746" t="s">
        <v>68</v>
      </c>
      <c r="G345" s="150"/>
      <c r="H345" s="305">
        <f>H346</f>
        <v>2128.5</v>
      </c>
      <c r="I345" s="305">
        <f>I346</f>
        <v>2128.5</v>
      </c>
    </row>
    <row r="346" spans="1:9" s="303" customFormat="1" ht="93.75">
      <c r="A346" s="291"/>
      <c r="B346" s="304" t="s">
        <v>69</v>
      </c>
      <c r="C346" s="744" t="s">
        <v>61</v>
      </c>
      <c r="D346" s="745" t="s">
        <v>65</v>
      </c>
      <c r="E346" s="745" t="s">
        <v>57</v>
      </c>
      <c r="F346" s="746" t="s">
        <v>68</v>
      </c>
      <c r="G346" s="150" t="s">
        <v>70</v>
      </c>
      <c r="H346" s="305">
        <f>'прил13(ведом 22-23)'!M24</f>
        <v>2128.5</v>
      </c>
      <c r="I346" s="305">
        <f>'прил13(ведом 22-23)'!N24</f>
        <v>2128.5</v>
      </c>
    </row>
    <row r="347" spans="1:9" s="303" customFormat="1" ht="37.5">
      <c r="A347" s="291"/>
      <c r="B347" s="304" t="s">
        <v>74</v>
      </c>
      <c r="C347" s="744" t="s">
        <v>61</v>
      </c>
      <c r="D347" s="745" t="s">
        <v>65</v>
      </c>
      <c r="E347" s="745" t="s">
        <v>59</v>
      </c>
      <c r="F347" s="746" t="s">
        <v>64</v>
      </c>
      <c r="G347" s="150"/>
      <c r="H347" s="305">
        <f>H348+H354+H356+H358+H361+H364+H352</f>
        <v>72061.099999999991</v>
      </c>
      <c r="I347" s="305">
        <f>I348+I354+I356+I358+I361+I364+I352</f>
        <v>72042.7</v>
      </c>
    </row>
    <row r="348" spans="1:9" s="303" customFormat="1" ht="37.5">
      <c r="A348" s="291"/>
      <c r="B348" s="304" t="s">
        <v>67</v>
      </c>
      <c r="C348" s="744" t="s">
        <v>61</v>
      </c>
      <c r="D348" s="745" t="s">
        <v>65</v>
      </c>
      <c r="E348" s="745" t="s">
        <v>59</v>
      </c>
      <c r="F348" s="746" t="s">
        <v>68</v>
      </c>
      <c r="G348" s="150"/>
      <c r="H348" s="305">
        <f>SUM(H349:H351)</f>
        <v>67115.899999999994</v>
      </c>
      <c r="I348" s="305">
        <f>SUM(I349:I351)</f>
        <v>67190.2</v>
      </c>
    </row>
    <row r="349" spans="1:9" s="303" customFormat="1" ht="93.75">
      <c r="A349" s="291"/>
      <c r="B349" s="304" t="s">
        <v>69</v>
      </c>
      <c r="C349" s="744" t="s">
        <v>61</v>
      </c>
      <c r="D349" s="745" t="s">
        <v>65</v>
      </c>
      <c r="E349" s="745" t="s">
        <v>59</v>
      </c>
      <c r="F349" s="746" t="s">
        <v>68</v>
      </c>
      <c r="G349" s="150" t="s">
        <v>70</v>
      </c>
      <c r="H349" s="305">
        <f>'прил13(ведом 22-23)'!M30</f>
        <v>61571.199999999997</v>
      </c>
      <c r="I349" s="305">
        <f>'прил13(ведом 22-23)'!N30</f>
        <v>61571.199999999997</v>
      </c>
    </row>
    <row r="350" spans="1:9" ht="37.5">
      <c r="A350" s="291"/>
      <c r="B350" s="304" t="s">
        <v>75</v>
      </c>
      <c r="C350" s="744" t="s">
        <v>61</v>
      </c>
      <c r="D350" s="745" t="s">
        <v>65</v>
      </c>
      <c r="E350" s="745" t="s">
        <v>59</v>
      </c>
      <c r="F350" s="746" t="s">
        <v>68</v>
      </c>
      <c r="G350" s="150" t="s">
        <v>76</v>
      </c>
      <c r="H350" s="305">
        <f>'прил13(ведом 22-23)'!M31</f>
        <v>5452.8</v>
      </c>
      <c r="I350" s="305">
        <f>'прил13(ведом 22-23)'!N31</f>
        <v>5527.1</v>
      </c>
    </row>
    <row r="351" spans="1:9" ht="18.75">
      <c r="A351" s="291"/>
      <c r="B351" s="164" t="s">
        <v>77</v>
      </c>
      <c r="C351" s="744" t="s">
        <v>61</v>
      </c>
      <c r="D351" s="745" t="s">
        <v>65</v>
      </c>
      <c r="E351" s="745" t="s">
        <v>59</v>
      </c>
      <c r="F351" s="746" t="s">
        <v>68</v>
      </c>
      <c r="G351" s="150" t="s">
        <v>78</v>
      </c>
      <c r="H351" s="305">
        <f>'прил13(ведом 22-23)'!M32</f>
        <v>91.9</v>
      </c>
      <c r="I351" s="305">
        <f>'прил13(ведом 22-23)'!N32</f>
        <v>91.9</v>
      </c>
    </row>
    <row r="352" spans="1:9" s="303" customFormat="1" ht="75">
      <c r="A352" s="291"/>
      <c r="B352" s="164" t="s">
        <v>490</v>
      </c>
      <c r="C352" s="744" t="s">
        <v>61</v>
      </c>
      <c r="D352" s="745" t="s">
        <v>65</v>
      </c>
      <c r="E352" s="745" t="s">
        <v>59</v>
      </c>
      <c r="F352" s="746" t="s">
        <v>489</v>
      </c>
      <c r="G352" s="150"/>
      <c r="H352" s="305">
        <f>H353</f>
        <v>98.4</v>
      </c>
      <c r="I352" s="305">
        <f>I353</f>
        <v>5.7</v>
      </c>
    </row>
    <row r="353" spans="1:9" s="303" customFormat="1" ht="37.5">
      <c r="A353" s="291"/>
      <c r="B353" s="164" t="s">
        <v>75</v>
      </c>
      <c r="C353" s="744" t="s">
        <v>61</v>
      </c>
      <c r="D353" s="745" t="s">
        <v>65</v>
      </c>
      <c r="E353" s="745" t="s">
        <v>59</v>
      </c>
      <c r="F353" s="746" t="s">
        <v>489</v>
      </c>
      <c r="G353" s="150" t="s">
        <v>76</v>
      </c>
      <c r="H353" s="305">
        <f>'прил13(ведом 22-23)'!M53</f>
        <v>98.4</v>
      </c>
      <c r="I353" s="305">
        <f>'прил13(ведом 22-23)'!N53</f>
        <v>5.7</v>
      </c>
    </row>
    <row r="354" spans="1:9" ht="93.75">
      <c r="A354" s="291"/>
      <c r="B354" s="304" t="s">
        <v>750</v>
      </c>
      <c r="C354" s="744" t="s">
        <v>61</v>
      </c>
      <c r="D354" s="745" t="s">
        <v>65</v>
      </c>
      <c r="E354" s="745" t="s">
        <v>59</v>
      </c>
      <c r="F354" s="746" t="s">
        <v>305</v>
      </c>
      <c r="G354" s="150"/>
      <c r="H354" s="305">
        <f>H355</f>
        <v>66</v>
      </c>
      <c r="I354" s="305">
        <f>I355</f>
        <v>66</v>
      </c>
    </row>
    <row r="355" spans="1:9" ht="37.5">
      <c r="A355" s="291"/>
      <c r="B355" s="304" t="s">
        <v>75</v>
      </c>
      <c r="C355" s="744" t="s">
        <v>61</v>
      </c>
      <c r="D355" s="745" t="s">
        <v>65</v>
      </c>
      <c r="E355" s="745" t="s">
        <v>59</v>
      </c>
      <c r="F355" s="746" t="s">
        <v>305</v>
      </c>
      <c r="G355" s="150" t="s">
        <v>76</v>
      </c>
      <c r="H355" s="305">
        <f>'прил13(ведом 22-23)'!M34</f>
        <v>66</v>
      </c>
      <c r="I355" s="305">
        <f>'прил13(ведом 22-23)'!N34</f>
        <v>66</v>
      </c>
    </row>
    <row r="356" spans="1:9" ht="177" customHeight="1">
      <c r="A356" s="291"/>
      <c r="B356" s="196" t="s">
        <v>760</v>
      </c>
      <c r="C356" s="744" t="s">
        <v>61</v>
      </c>
      <c r="D356" s="745" t="s">
        <v>65</v>
      </c>
      <c r="E356" s="745" t="s">
        <v>59</v>
      </c>
      <c r="F356" s="746" t="s">
        <v>79</v>
      </c>
      <c r="G356" s="150"/>
      <c r="H356" s="305">
        <f>H357</f>
        <v>636.5</v>
      </c>
      <c r="I356" s="305">
        <f>I357</f>
        <v>636.5</v>
      </c>
    </row>
    <row r="357" spans="1:9" ht="93.75">
      <c r="A357" s="291"/>
      <c r="B357" s="164" t="s">
        <v>69</v>
      </c>
      <c r="C357" s="744" t="s">
        <v>61</v>
      </c>
      <c r="D357" s="745" t="s">
        <v>65</v>
      </c>
      <c r="E357" s="745" t="s">
        <v>59</v>
      </c>
      <c r="F357" s="746" t="s">
        <v>79</v>
      </c>
      <c r="G357" s="150" t="s">
        <v>70</v>
      </c>
      <c r="H357" s="305">
        <f>'прил13(ведом 22-23)'!M36</f>
        <v>636.5</v>
      </c>
      <c r="I357" s="305">
        <f>'прил13(ведом 22-23)'!N36</f>
        <v>636.5</v>
      </c>
    </row>
    <row r="358" spans="1:9" ht="75">
      <c r="A358" s="291"/>
      <c r="B358" s="304" t="s">
        <v>80</v>
      </c>
      <c r="C358" s="744" t="s">
        <v>61</v>
      </c>
      <c r="D358" s="745" t="s">
        <v>65</v>
      </c>
      <c r="E358" s="745" t="s">
        <v>59</v>
      </c>
      <c r="F358" s="746" t="s">
        <v>81</v>
      </c>
      <c r="G358" s="150"/>
      <c r="H358" s="305">
        <f>SUM(H359:H360)</f>
        <v>3441.6000000000004</v>
      </c>
      <c r="I358" s="305">
        <f>SUM(I359:I360)</f>
        <v>3441.6000000000004</v>
      </c>
    </row>
    <row r="359" spans="1:9" ht="93.75">
      <c r="A359" s="291"/>
      <c r="B359" s="304" t="s">
        <v>69</v>
      </c>
      <c r="C359" s="744" t="s">
        <v>61</v>
      </c>
      <c r="D359" s="745" t="s">
        <v>65</v>
      </c>
      <c r="E359" s="745" t="s">
        <v>59</v>
      </c>
      <c r="F359" s="746" t="s">
        <v>81</v>
      </c>
      <c r="G359" s="150" t="s">
        <v>70</v>
      </c>
      <c r="H359" s="305">
        <f>'прил13(ведом 22-23)'!M38</f>
        <v>3372.8</v>
      </c>
      <c r="I359" s="305">
        <f>'прил13(ведом 22-23)'!N38</f>
        <v>3372.8</v>
      </c>
    </row>
    <row r="360" spans="1:9" ht="37.5">
      <c r="A360" s="291"/>
      <c r="B360" s="304" t="s">
        <v>75</v>
      </c>
      <c r="C360" s="745" t="s">
        <v>61</v>
      </c>
      <c r="D360" s="745" t="s">
        <v>65</v>
      </c>
      <c r="E360" s="745" t="s">
        <v>59</v>
      </c>
      <c r="F360" s="746" t="s">
        <v>81</v>
      </c>
      <c r="G360" s="150" t="s">
        <v>76</v>
      </c>
      <c r="H360" s="305">
        <f>'прил13(ведом 22-23)'!M39</f>
        <v>68.8</v>
      </c>
      <c r="I360" s="305">
        <f>'прил13(ведом 22-23)'!N39</f>
        <v>68.8</v>
      </c>
    </row>
    <row r="361" spans="1:9" ht="56.25">
      <c r="A361" s="291"/>
      <c r="B361" s="164" t="s">
        <v>583</v>
      </c>
      <c r="C361" s="744" t="s">
        <v>61</v>
      </c>
      <c r="D361" s="745" t="s">
        <v>65</v>
      </c>
      <c r="E361" s="745" t="s">
        <v>59</v>
      </c>
      <c r="F361" s="746" t="s">
        <v>82</v>
      </c>
      <c r="G361" s="150"/>
      <c r="H361" s="305">
        <f>H362+H363</f>
        <v>636.70000000000005</v>
      </c>
      <c r="I361" s="305">
        <f>I362+I363</f>
        <v>636.70000000000005</v>
      </c>
    </row>
    <row r="362" spans="1:9" ht="93.75">
      <c r="A362" s="291"/>
      <c r="B362" s="164" t="s">
        <v>69</v>
      </c>
      <c r="C362" s="744" t="s">
        <v>61</v>
      </c>
      <c r="D362" s="745" t="s">
        <v>65</v>
      </c>
      <c r="E362" s="745" t="s">
        <v>59</v>
      </c>
      <c r="F362" s="746" t="s">
        <v>82</v>
      </c>
      <c r="G362" s="150" t="s">
        <v>70</v>
      </c>
      <c r="H362" s="305">
        <f>'прил13(ведом 22-23)'!M41</f>
        <v>632.5</v>
      </c>
      <c r="I362" s="305">
        <f>'прил13(ведом 22-23)'!N41</f>
        <v>632.5</v>
      </c>
    </row>
    <row r="363" spans="1:9" ht="37.5">
      <c r="A363" s="291"/>
      <c r="B363" s="304" t="s">
        <v>75</v>
      </c>
      <c r="C363" s="744" t="s">
        <v>61</v>
      </c>
      <c r="D363" s="745" t="s">
        <v>65</v>
      </c>
      <c r="E363" s="745" t="s">
        <v>59</v>
      </c>
      <c r="F363" s="746" t="s">
        <v>82</v>
      </c>
      <c r="G363" s="150" t="s">
        <v>76</v>
      </c>
      <c r="H363" s="305">
        <f>'прил13(ведом 22-23)'!M42</f>
        <v>4.2</v>
      </c>
      <c r="I363" s="305">
        <f>'прил13(ведом 22-23)'!N42</f>
        <v>4.2</v>
      </c>
    </row>
    <row r="364" spans="1:9" ht="147" customHeight="1">
      <c r="A364" s="291"/>
      <c r="B364" s="164" t="s">
        <v>466</v>
      </c>
      <c r="C364" s="744" t="s">
        <v>61</v>
      </c>
      <c r="D364" s="745" t="s">
        <v>65</v>
      </c>
      <c r="E364" s="745" t="s">
        <v>59</v>
      </c>
      <c r="F364" s="746" t="s">
        <v>465</v>
      </c>
      <c r="G364" s="150"/>
      <c r="H364" s="305">
        <f>H365</f>
        <v>66</v>
      </c>
      <c r="I364" s="305">
        <f>I365</f>
        <v>66</v>
      </c>
    </row>
    <row r="365" spans="1:9" ht="37.5">
      <c r="A365" s="291"/>
      <c r="B365" s="164" t="s">
        <v>75</v>
      </c>
      <c r="C365" s="744" t="s">
        <v>61</v>
      </c>
      <c r="D365" s="745" t="s">
        <v>65</v>
      </c>
      <c r="E365" s="745" t="s">
        <v>59</v>
      </c>
      <c r="F365" s="746" t="s">
        <v>465</v>
      </c>
      <c r="G365" s="150" t="s">
        <v>76</v>
      </c>
      <c r="H365" s="305">
        <f>'прил13(ведом 22-23)'!M44</f>
        <v>66</v>
      </c>
      <c r="I365" s="305">
        <f>'прил13(ведом 22-23)'!N44</f>
        <v>66</v>
      </c>
    </row>
    <row r="366" spans="1:9" ht="18.75">
      <c r="A366" s="291"/>
      <c r="B366" s="164" t="s">
        <v>83</v>
      </c>
      <c r="C366" s="744" t="s">
        <v>61</v>
      </c>
      <c r="D366" s="745" t="s">
        <v>65</v>
      </c>
      <c r="E366" s="745" t="s">
        <v>84</v>
      </c>
      <c r="F366" s="746" t="s">
        <v>64</v>
      </c>
      <c r="G366" s="150"/>
      <c r="H366" s="305">
        <f>H367+H369</f>
        <v>1177.3</v>
      </c>
      <c r="I366" s="305">
        <f>I367+I369</f>
        <v>1177.3</v>
      </c>
    </row>
    <row r="367" spans="1:9" ht="37.5">
      <c r="A367" s="291"/>
      <c r="B367" s="164" t="s">
        <v>67</v>
      </c>
      <c r="C367" s="744" t="s">
        <v>61</v>
      </c>
      <c r="D367" s="745" t="s">
        <v>65</v>
      </c>
      <c r="E367" s="745" t="s">
        <v>84</v>
      </c>
      <c r="F367" s="746" t="s">
        <v>68</v>
      </c>
      <c r="G367" s="150"/>
      <c r="H367" s="305">
        <f>H368</f>
        <v>113.2</v>
      </c>
      <c r="I367" s="305">
        <f>I368</f>
        <v>113.2</v>
      </c>
    </row>
    <row r="368" spans="1:9" ht="37.5">
      <c r="A368" s="291"/>
      <c r="B368" s="164" t="s">
        <v>75</v>
      </c>
      <c r="C368" s="744" t="s">
        <v>61</v>
      </c>
      <c r="D368" s="745" t="s">
        <v>65</v>
      </c>
      <c r="E368" s="745" t="s">
        <v>84</v>
      </c>
      <c r="F368" s="746" t="s">
        <v>68</v>
      </c>
      <c r="G368" s="150" t="s">
        <v>76</v>
      </c>
      <c r="H368" s="305">
        <f>'прил13(ведом 22-23)'!M47</f>
        <v>113.2</v>
      </c>
      <c r="I368" s="305">
        <f>'прил13(ведом 22-23)'!N47</f>
        <v>113.2</v>
      </c>
    </row>
    <row r="369" spans="1:9" ht="56.25">
      <c r="A369" s="291"/>
      <c r="B369" s="168" t="s">
        <v>478</v>
      </c>
      <c r="C369" s="744" t="s">
        <v>61</v>
      </c>
      <c r="D369" s="745" t="s">
        <v>65</v>
      </c>
      <c r="E369" s="745" t="s">
        <v>84</v>
      </c>
      <c r="F369" s="746" t="s">
        <v>477</v>
      </c>
      <c r="G369" s="150"/>
      <c r="H369" s="305">
        <f>H370+H371</f>
        <v>1064.0999999999999</v>
      </c>
      <c r="I369" s="305">
        <f>I370+I371</f>
        <v>1064.0999999999999</v>
      </c>
    </row>
    <row r="370" spans="1:9" ht="37.5">
      <c r="A370" s="291"/>
      <c r="B370" s="164" t="s">
        <v>75</v>
      </c>
      <c r="C370" s="744" t="s">
        <v>61</v>
      </c>
      <c r="D370" s="745" t="s">
        <v>65</v>
      </c>
      <c r="E370" s="745" t="s">
        <v>84</v>
      </c>
      <c r="F370" s="746" t="s">
        <v>477</v>
      </c>
      <c r="G370" s="150" t="s">
        <v>76</v>
      </c>
      <c r="H370" s="305">
        <f>'прил13(ведом 22-23)'!M69</f>
        <v>833.3</v>
      </c>
      <c r="I370" s="305">
        <f>'прил13(ведом 22-23)'!N69</f>
        <v>833.3</v>
      </c>
    </row>
    <row r="371" spans="1:9" ht="18.75">
      <c r="A371" s="291"/>
      <c r="B371" s="164" t="s">
        <v>77</v>
      </c>
      <c r="C371" s="744" t="s">
        <v>61</v>
      </c>
      <c r="D371" s="745" t="s">
        <v>65</v>
      </c>
      <c r="E371" s="745" t="s">
        <v>84</v>
      </c>
      <c r="F371" s="746" t="s">
        <v>477</v>
      </c>
      <c r="G371" s="150" t="s">
        <v>78</v>
      </c>
      <c r="H371" s="305">
        <f>'прил13(ведом 22-23)'!M70</f>
        <v>230.8</v>
      </c>
      <c r="I371" s="305">
        <f>'прил13(ведом 22-23)'!N70</f>
        <v>230.8</v>
      </c>
    </row>
    <row r="372" spans="1:9" ht="18.75">
      <c r="A372" s="291"/>
      <c r="B372" s="164" t="s">
        <v>85</v>
      </c>
      <c r="C372" s="744" t="s">
        <v>61</v>
      </c>
      <c r="D372" s="745" t="s">
        <v>65</v>
      </c>
      <c r="E372" s="745" t="s">
        <v>72</v>
      </c>
      <c r="F372" s="746" t="s">
        <v>64</v>
      </c>
      <c r="G372" s="150"/>
      <c r="H372" s="305">
        <f>H373+H375</f>
        <v>2450.2000000000003</v>
      </c>
      <c r="I372" s="305">
        <f>I373+I375</f>
        <v>2450.2000000000003</v>
      </c>
    </row>
    <row r="373" spans="1:9" ht="56.25">
      <c r="A373" s="291"/>
      <c r="B373" s="169" t="s">
        <v>429</v>
      </c>
      <c r="C373" s="744" t="s">
        <v>61</v>
      </c>
      <c r="D373" s="745" t="s">
        <v>65</v>
      </c>
      <c r="E373" s="745" t="s">
        <v>72</v>
      </c>
      <c r="F373" s="746" t="s">
        <v>126</v>
      </c>
      <c r="G373" s="150"/>
      <c r="H373" s="305">
        <f>H374</f>
        <v>475.3</v>
      </c>
      <c r="I373" s="305">
        <f>I374</f>
        <v>475.3</v>
      </c>
    </row>
    <row r="374" spans="1:9" ht="37.5">
      <c r="A374" s="291"/>
      <c r="B374" s="164" t="s">
        <v>75</v>
      </c>
      <c r="C374" s="744" t="s">
        <v>61</v>
      </c>
      <c r="D374" s="745" t="s">
        <v>65</v>
      </c>
      <c r="E374" s="745" t="s">
        <v>72</v>
      </c>
      <c r="F374" s="746" t="s">
        <v>126</v>
      </c>
      <c r="G374" s="150" t="s">
        <v>76</v>
      </c>
      <c r="H374" s="305">
        <f>'прил13(ведом 22-23)'!M73</f>
        <v>475.3</v>
      </c>
      <c r="I374" s="305">
        <f>'прил13(ведом 22-23)'!N73</f>
        <v>475.3</v>
      </c>
    </row>
    <row r="375" spans="1:9" ht="56.25">
      <c r="A375" s="291"/>
      <c r="B375" s="164" t="s">
        <v>431</v>
      </c>
      <c r="C375" s="744" t="s">
        <v>61</v>
      </c>
      <c r="D375" s="745" t="s">
        <v>65</v>
      </c>
      <c r="E375" s="745" t="s">
        <v>72</v>
      </c>
      <c r="F375" s="746" t="s">
        <v>430</v>
      </c>
      <c r="G375" s="150"/>
      <c r="H375" s="305">
        <f>'прил13(ведом 22-23)'!M74</f>
        <v>1974.9</v>
      </c>
      <c r="I375" s="305">
        <f>'прил13(ведом 22-23)'!N74</f>
        <v>1974.9</v>
      </c>
    </row>
    <row r="376" spans="1:9" ht="37.5">
      <c r="A376" s="291"/>
      <c r="B376" s="164" t="s">
        <v>75</v>
      </c>
      <c r="C376" s="744" t="s">
        <v>61</v>
      </c>
      <c r="D376" s="745" t="s">
        <v>65</v>
      </c>
      <c r="E376" s="745" t="s">
        <v>72</v>
      </c>
      <c r="F376" s="746" t="s">
        <v>430</v>
      </c>
      <c r="G376" s="150" t="s">
        <v>76</v>
      </c>
      <c r="H376" s="305">
        <f>'прил13(ведом 22-23)'!M75</f>
        <v>1974.9</v>
      </c>
      <c r="I376" s="305">
        <f>'прил13(ведом 22-23)'!N75</f>
        <v>1974.9</v>
      </c>
    </row>
    <row r="377" spans="1:9" ht="75">
      <c r="A377" s="329"/>
      <c r="B377" s="334" t="s">
        <v>351</v>
      </c>
      <c r="C377" s="180" t="s">
        <v>61</v>
      </c>
      <c r="D377" s="175" t="s">
        <v>65</v>
      </c>
      <c r="E377" s="175" t="s">
        <v>102</v>
      </c>
      <c r="F377" s="176" t="s">
        <v>64</v>
      </c>
      <c r="G377" s="174"/>
      <c r="H377" s="305">
        <f>H378</f>
        <v>5183.0000000000009</v>
      </c>
      <c r="I377" s="305">
        <f>I378</f>
        <v>5186.4000000000005</v>
      </c>
    </row>
    <row r="378" spans="1:9" ht="37.5">
      <c r="A378" s="329"/>
      <c r="B378" s="304" t="s">
        <v>800</v>
      </c>
      <c r="C378" s="180" t="s">
        <v>61</v>
      </c>
      <c r="D378" s="175" t="s">
        <v>65</v>
      </c>
      <c r="E378" s="175" t="s">
        <v>102</v>
      </c>
      <c r="F378" s="176" t="s">
        <v>112</v>
      </c>
      <c r="G378" s="174"/>
      <c r="H378" s="305">
        <f>SUM(H379:H381)</f>
        <v>5183.0000000000009</v>
      </c>
      <c r="I378" s="305">
        <f>SUM(I379:I381)</f>
        <v>5186.4000000000005</v>
      </c>
    </row>
    <row r="379" spans="1:9" ht="93.75">
      <c r="A379" s="329"/>
      <c r="B379" s="334" t="s">
        <v>69</v>
      </c>
      <c r="C379" s="180" t="s">
        <v>61</v>
      </c>
      <c r="D379" s="175" t="s">
        <v>65</v>
      </c>
      <c r="E379" s="175" t="s">
        <v>102</v>
      </c>
      <c r="F379" s="176" t="s">
        <v>112</v>
      </c>
      <c r="G379" s="174" t="s">
        <v>70</v>
      </c>
      <c r="H379" s="305">
        <f>'прил13(ведом 22-23)'!M246</f>
        <v>4729.8</v>
      </c>
      <c r="I379" s="305">
        <f>'прил13(ведом 22-23)'!N246</f>
        <v>4729.8</v>
      </c>
    </row>
    <row r="380" spans="1:9" ht="37.5">
      <c r="A380" s="329"/>
      <c r="B380" s="164" t="s">
        <v>75</v>
      </c>
      <c r="C380" s="180" t="s">
        <v>61</v>
      </c>
      <c r="D380" s="175" t="s">
        <v>65</v>
      </c>
      <c r="E380" s="175" t="s">
        <v>102</v>
      </c>
      <c r="F380" s="176" t="s">
        <v>112</v>
      </c>
      <c r="G380" s="174" t="s">
        <v>76</v>
      </c>
      <c r="H380" s="305">
        <f>'прил13(ведом 22-23)'!M247</f>
        <v>453.1</v>
      </c>
      <c r="I380" s="305">
        <f>'прил13(ведом 22-23)'!N247</f>
        <v>456.5</v>
      </c>
    </row>
    <row r="381" spans="1:9" ht="18.75">
      <c r="A381" s="329"/>
      <c r="B381" s="164" t="s">
        <v>77</v>
      </c>
      <c r="C381" s="339" t="s">
        <v>61</v>
      </c>
      <c r="D381" s="309" t="s">
        <v>65</v>
      </c>
      <c r="E381" s="309" t="s">
        <v>102</v>
      </c>
      <c r="F381" s="310" t="s">
        <v>112</v>
      </c>
      <c r="G381" s="311" t="s">
        <v>78</v>
      </c>
      <c r="H381" s="305">
        <f>'прил13(ведом 22-23)'!M248</f>
        <v>0.1</v>
      </c>
      <c r="I381" s="305">
        <f>'прил13(ведом 22-23)'!N248</f>
        <v>0.1</v>
      </c>
    </row>
    <row r="382" spans="1:9" ht="45" customHeight="1">
      <c r="A382" s="329"/>
      <c r="B382" s="168" t="s">
        <v>472</v>
      </c>
      <c r="C382" s="744" t="s">
        <v>61</v>
      </c>
      <c r="D382" s="745" t="s">
        <v>65</v>
      </c>
      <c r="E382" s="745" t="s">
        <v>100</v>
      </c>
      <c r="F382" s="746" t="s">
        <v>64</v>
      </c>
      <c r="G382" s="150"/>
      <c r="H382" s="305">
        <f>H383</f>
        <v>9.4</v>
      </c>
      <c r="I382" s="305">
        <f>I383</f>
        <v>0</v>
      </c>
    </row>
    <row r="383" spans="1:9" ht="18.75">
      <c r="A383" s="329"/>
      <c r="B383" s="168" t="s">
        <v>473</v>
      </c>
      <c r="C383" s="744" t="s">
        <v>61</v>
      </c>
      <c r="D383" s="745" t="s">
        <v>65</v>
      </c>
      <c r="E383" s="745" t="s">
        <v>100</v>
      </c>
      <c r="F383" s="746" t="s">
        <v>474</v>
      </c>
      <c r="G383" s="150"/>
      <c r="H383" s="305">
        <f>H384</f>
        <v>9.4</v>
      </c>
      <c r="I383" s="305">
        <f>I384</f>
        <v>0</v>
      </c>
    </row>
    <row r="384" spans="1:9" ht="37.5">
      <c r="A384" s="329"/>
      <c r="B384" s="168" t="s">
        <v>475</v>
      </c>
      <c r="C384" s="744" t="s">
        <v>61</v>
      </c>
      <c r="D384" s="745" t="s">
        <v>65</v>
      </c>
      <c r="E384" s="745" t="s">
        <v>100</v>
      </c>
      <c r="F384" s="746" t="s">
        <v>474</v>
      </c>
      <c r="G384" s="150" t="s">
        <v>476</v>
      </c>
      <c r="H384" s="305">
        <f>'прил13(ведом 22-23)'!M175</f>
        <v>9.4</v>
      </c>
      <c r="I384" s="305">
        <f>'прил13(ведом 22-23)'!N175</f>
        <v>0</v>
      </c>
    </row>
    <row r="385" spans="1:9" ht="37.5">
      <c r="A385" s="329"/>
      <c r="B385" s="164" t="s">
        <v>396</v>
      </c>
      <c r="C385" s="744" t="s">
        <v>61</v>
      </c>
      <c r="D385" s="745" t="s">
        <v>65</v>
      </c>
      <c r="E385" s="745" t="s">
        <v>109</v>
      </c>
      <c r="F385" s="746" t="s">
        <v>64</v>
      </c>
      <c r="G385" s="150"/>
      <c r="H385" s="305">
        <f>H386</f>
        <v>4734.2</v>
      </c>
      <c r="I385" s="305">
        <f>I386</f>
        <v>4734.2</v>
      </c>
    </row>
    <row r="386" spans="1:9" ht="37.5">
      <c r="A386" s="329"/>
      <c r="B386" s="304" t="s">
        <v>800</v>
      </c>
      <c r="C386" s="744" t="s">
        <v>61</v>
      </c>
      <c r="D386" s="745" t="s">
        <v>65</v>
      </c>
      <c r="E386" s="745" t="s">
        <v>109</v>
      </c>
      <c r="F386" s="746" t="s">
        <v>112</v>
      </c>
      <c r="G386" s="150"/>
      <c r="H386" s="305">
        <f>SUM(H387:H388)</f>
        <v>4734.2</v>
      </c>
      <c r="I386" s="305">
        <f>SUM(I387:I388)</f>
        <v>4734.2</v>
      </c>
    </row>
    <row r="387" spans="1:9" ht="93.75">
      <c r="A387" s="329"/>
      <c r="B387" s="164" t="s">
        <v>69</v>
      </c>
      <c r="C387" s="744" t="s">
        <v>61</v>
      </c>
      <c r="D387" s="745" t="s">
        <v>65</v>
      </c>
      <c r="E387" s="745" t="s">
        <v>109</v>
      </c>
      <c r="F387" s="746" t="s">
        <v>112</v>
      </c>
      <c r="G387" s="150" t="s">
        <v>70</v>
      </c>
      <c r="H387" s="305">
        <f>'прил13(ведом 22-23)'!M145</f>
        <v>4490.2</v>
      </c>
      <c r="I387" s="305">
        <f>'прил13(ведом 22-23)'!N145</f>
        <v>4490.2</v>
      </c>
    </row>
    <row r="388" spans="1:9" ht="37.5">
      <c r="A388" s="329"/>
      <c r="B388" s="164" t="s">
        <v>75</v>
      </c>
      <c r="C388" s="744" t="s">
        <v>61</v>
      </c>
      <c r="D388" s="745" t="s">
        <v>65</v>
      </c>
      <c r="E388" s="745" t="s">
        <v>109</v>
      </c>
      <c r="F388" s="746" t="s">
        <v>112</v>
      </c>
      <c r="G388" s="150" t="s">
        <v>76</v>
      </c>
      <c r="H388" s="305">
        <f>'прил13(ведом 22-23)'!M146</f>
        <v>244</v>
      </c>
      <c r="I388" s="305">
        <f>'прил13(ведом 22-23)'!N146</f>
        <v>244</v>
      </c>
    </row>
    <row r="389" spans="1:9" ht="37.5">
      <c r="A389" s="329"/>
      <c r="B389" s="164" t="s">
        <v>818</v>
      </c>
      <c r="C389" s="744" t="s">
        <v>61</v>
      </c>
      <c r="D389" s="745" t="s">
        <v>65</v>
      </c>
      <c r="E389" s="745" t="s">
        <v>586</v>
      </c>
      <c r="F389" s="746" t="s">
        <v>64</v>
      </c>
      <c r="G389" s="150"/>
      <c r="H389" s="305">
        <f>H390</f>
        <v>148</v>
      </c>
      <c r="I389" s="305">
        <f>I390</f>
        <v>148</v>
      </c>
    </row>
    <row r="390" spans="1:9" ht="37.5">
      <c r="A390" s="329"/>
      <c r="B390" s="169" t="s">
        <v>819</v>
      </c>
      <c r="C390" s="744" t="s">
        <v>61</v>
      </c>
      <c r="D390" s="745" t="s">
        <v>65</v>
      </c>
      <c r="E390" s="745" t="s">
        <v>586</v>
      </c>
      <c r="F390" s="746" t="s">
        <v>111</v>
      </c>
      <c r="G390" s="150"/>
      <c r="H390" s="305">
        <f>H391</f>
        <v>148</v>
      </c>
      <c r="I390" s="305">
        <f>I391</f>
        <v>148</v>
      </c>
    </row>
    <row r="391" spans="1:9" ht="37.5">
      <c r="A391" s="329"/>
      <c r="B391" s="164" t="s">
        <v>75</v>
      </c>
      <c r="C391" s="744" t="s">
        <v>61</v>
      </c>
      <c r="D391" s="745" t="s">
        <v>65</v>
      </c>
      <c r="E391" s="745" t="s">
        <v>586</v>
      </c>
      <c r="F391" s="746" t="s">
        <v>111</v>
      </c>
      <c r="G391" s="150" t="s">
        <v>76</v>
      </c>
      <c r="H391" s="305">
        <f>'прил13(ведом 22-23)'!M78</f>
        <v>148</v>
      </c>
      <c r="I391" s="305">
        <f>'прил13(ведом 22-23)'!N78</f>
        <v>148</v>
      </c>
    </row>
    <row r="392" spans="1:9" ht="37.5">
      <c r="A392" s="329"/>
      <c r="B392" s="164" t="s">
        <v>804</v>
      </c>
      <c r="C392" s="744" t="s">
        <v>61</v>
      </c>
      <c r="D392" s="745" t="s">
        <v>65</v>
      </c>
      <c r="E392" s="745" t="s">
        <v>61</v>
      </c>
      <c r="F392" s="746" t="s">
        <v>64</v>
      </c>
      <c r="G392" s="150"/>
      <c r="H392" s="305">
        <f>H393</f>
        <v>37.4</v>
      </c>
      <c r="I392" s="305">
        <f>I393</f>
        <v>37.4</v>
      </c>
    </row>
    <row r="393" spans="1:9" ht="18.75">
      <c r="A393" s="329"/>
      <c r="B393" s="169" t="s">
        <v>802</v>
      </c>
      <c r="C393" s="744" t="s">
        <v>61</v>
      </c>
      <c r="D393" s="745" t="s">
        <v>65</v>
      </c>
      <c r="E393" s="745" t="s">
        <v>61</v>
      </c>
      <c r="F393" s="746" t="s">
        <v>803</v>
      </c>
      <c r="G393" s="150"/>
      <c r="H393" s="305">
        <f>H394</f>
        <v>37.4</v>
      </c>
      <c r="I393" s="305">
        <f>I394</f>
        <v>37.4</v>
      </c>
    </row>
    <row r="394" spans="1:9" ht="37.5">
      <c r="A394" s="329"/>
      <c r="B394" s="164" t="s">
        <v>75</v>
      </c>
      <c r="C394" s="744" t="s">
        <v>61</v>
      </c>
      <c r="D394" s="745" t="s">
        <v>65</v>
      </c>
      <c r="E394" s="745" t="s">
        <v>61</v>
      </c>
      <c r="F394" s="746" t="s">
        <v>803</v>
      </c>
      <c r="G394" s="150" t="s">
        <v>76</v>
      </c>
      <c r="H394" s="305">
        <f>'прил13(ведом 22-23)'!M81</f>
        <v>37.4</v>
      </c>
      <c r="I394" s="305">
        <f>'прил13(ведом 22-23)'!N81</f>
        <v>37.4</v>
      </c>
    </row>
    <row r="395" spans="1:9" ht="18.75">
      <c r="A395" s="329"/>
      <c r="B395" s="334"/>
      <c r="C395" s="321"/>
      <c r="D395" s="175"/>
      <c r="E395" s="175"/>
      <c r="F395" s="176"/>
      <c r="G395" s="174"/>
      <c r="H395" s="305"/>
      <c r="I395" s="305"/>
    </row>
    <row r="396" spans="1:9" ht="37.5">
      <c r="A396" s="314">
        <v>16</v>
      </c>
      <c r="B396" s="369" t="s">
        <v>152</v>
      </c>
      <c r="C396" s="315" t="s">
        <v>153</v>
      </c>
      <c r="D396" s="315" t="s">
        <v>62</v>
      </c>
      <c r="E396" s="315" t="s">
        <v>63</v>
      </c>
      <c r="F396" s="315" t="s">
        <v>64</v>
      </c>
      <c r="G396" s="301"/>
      <c r="H396" s="302">
        <f>H397</f>
        <v>4306.6000000000004</v>
      </c>
      <c r="I396" s="302">
        <f>I397</f>
        <v>4306.7</v>
      </c>
    </row>
    <row r="397" spans="1:9" ht="37.5">
      <c r="A397" s="291"/>
      <c r="B397" s="167" t="s">
        <v>154</v>
      </c>
      <c r="C397" s="744" t="s">
        <v>153</v>
      </c>
      <c r="D397" s="745" t="s">
        <v>65</v>
      </c>
      <c r="E397" s="745" t="s">
        <v>63</v>
      </c>
      <c r="F397" s="746" t="s">
        <v>64</v>
      </c>
      <c r="G397" s="150"/>
      <c r="H397" s="305">
        <f>H398</f>
        <v>4306.6000000000004</v>
      </c>
      <c r="I397" s="305">
        <f>I398</f>
        <v>4306.7</v>
      </c>
    </row>
    <row r="398" spans="1:9" ht="37.5">
      <c r="A398" s="291"/>
      <c r="B398" s="304" t="s">
        <v>67</v>
      </c>
      <c r="C398" s="744" t="s">
        <v>153</v>
      </c>
      <c r="D398" s="745" t="s">
        <v>65</v>
      </c>
      <c r="E398" s="745" t="s">
        <v>63</v>
      </c>
      <c r="F398" s="746" t="s">
        <v>68</v>
      </c>
      <c r="G398" s="150"/>
      <c r="H398" s="305">
        <f>H399+H400+H401</f>
        <v>4306.6000000000004</v>
      </c>
      <c r="I398" s="305">
        <f>I399+I400+I401</f>
        <v>4306.7</v>
      </c>
    </row>
    <row r="399" spans="1:9" ht="93.75">
      <c r="A399" s="291"/>
      <c r="B399" s="318" t="s">
        <v>69</v>
      </c>
      <c r="C399" s="744" t="s">
        <v>153</v>
      </c>
      <c r="D399" s="745" t="s">
        <v>65</v>
      </c>
      <c r="E399" s="745" t="s">
        <v>63</v>
      </c>
      <c r="F399" s="746" t="s">
        <v>68</v>
      </c>
      <c r="G399" s="150" t="s">
        <v>70</v>
      </c>
      <c r="H399" s="305">
        <f>'прил13(ведом 22-23)'!M210</f>
        <v>4101.3</v>
      </c>
      <c r="I399" s="305">
        <f>'прил13(ведом 22-23)'!N210</f>
        <v>4101.3</v>
      </c>
    </row>
    <row r="400" spans="1:9" ht="37.5">
      <c r="A400" s="291"/>
      <c r="B400" s="164" t="s">
        <v>75</v>
      </c>
      <c r="C400" s="744" t="s">
        <v>153</v>
      </c>
      <c r="D400" s="745" t="s">
        <v>65</v>
      </c>
      <c r="E400" s="745" t="s">
        <v>63</v>
      </c>
      <c r="F400" s="746" t="s">
        <v>68</v>
      </c>
      <c r="G400" s="150" t="s">
        <v>76</v>
      </c>
      <c r="H400" s="305">
        <f>'прил13(ведом 22-23)'!M211</f>
        <v>195.3</v>
      </c>
      <c r="I400" s="305">
        <f>'прил13(ведом 22-23)'!N211</f>
        <v>195.4</v>
      </c>
    </row>
    <row r="401" spans="1:9" ht="18.75">
      <c r="A401" s="291"/>
      <c r="B401" s="164" t="s">
        <v>77</v>
      </c>
      <c r="C401" s="744" t="s">
        <v>153</v>
      </c>
      <c r="D401" s="745" t="s">
        <v>65</v>
      </c>
      <c r="E401" s="745" t="s">
        <v>63</v>
      </c>
      <c r="F401" s="746" t="s">
        <v>68</v>
      </c>
      <c r="G401" s="150" t="s">
        <v>78</v>
      </c>
      <c r="H401" s="305">
        <f>'прил13(ведом 22-23)'!M212</f>
        <v>10</v>
      </c>
      <c r="I401" s="305">
        <f>'прил13(ведом 22-23)'!N212</f>
        <v>10</v>
      </c>
    </row>
    <row r="402" spans="1:9" ht="18.75">
      <c r="A402" s="291"/>
      <c r="B402" s="313"/>
      <c r="C402" s="739"/>
      <c r="D402" s="739"/>
      <c r="E402" s="739"/>
      <c r="F402" s="739"/>
      <c r="G402" s="289"/>
      <c r="H402" s="305"/>
      <c r="I402" s="305"/>
    </row>
    <row r="403" spans="1:9" s="303" customFormat="1" ht="56.25">
      <c r="A403" s="314">
        <v>17</v>
      </c>
      <c r="B403" s="369" t="s">
        <v>758</v>
      </c>
      <c r="C403" s="315" t="s">
        <v>89</v>
      </c>
      <c r="D403" s="315" t="s">
        <v>62</v>
      </c>
      <c r="E403" s="315" t="s">
        <v>63</v>
      </c>
      <c r="F403" s="315" t="s">
        <v>64</v>
      </c>
      <c r="G403" s="301"/>
      <c r="H403" s="302">
        <f t="shared" ref="H403:I405" si="12">H404</f>
        <v>5000</v>
      </c>
      <c r="I403" s="302">
        <f t="shared" si="12"/>
        <v>5000</v>
      </c>
    </row>
    <row r="404" spans="1:9" ht="18.75">
      <c r="A404" s="291"/>
      <c r="B404" s="318" t="s">
        <v>754</v>
      </c>
      <c r="C404" s="744" t="s">
        <v>89</v>
      </c>
      <c r="D404" s="745" t="s">
        <v>65</v>
      </c>
      <c r="E404" s="745" t="s">
        <v>63</v>
      </c>
      <c r="F404" s="746" t="s">
        <v>64</v>
      </c>
      <c r="G404" s="150"/>
      <c r="H404" s="305">
        <f>H405</f>
        <v>5000</v>
      </c>
      <c r="I404" s="305">
        <f>I405</f>
        <v>5000</v>
      </c>
    </row>
    <row r="405" spans="1:9" ht="37.5">
      <c r="A405" s="291"/>
      <c r="B405" s="304" t="s">
        <v>752</v>
      </c>
      <c r="C405" s="744" t="s">
        <v>89</v>
      </c>
      <c r="D405" s="745" t="s">
        <v>65</v>
      </c>
      <c r="E405" s="745" t="s">
        <v>63</v>
      </c>
      <c r="F405" s="746" t="s">
        <v>90</v>
      </c>
      <c r="G405" s="150"/>
      <c r="H405" s="305">
        <f t="shared" si="12"/>
        <v>5000</v>
      </c>
      <c r="I405" s="305">
        <f t="shared" si="12"/>
        <v>5000</v>
      </c>
    </row>
    <row r="406" spans="1:9" ht="18.75">
      <c r="A406" s="291"/>
      <c r="B406" s="304" t="s">
        <v>77</v>
      </c>
      <c r="C406" s="744" t="s">
        <v>89</v>
      </c>
      <c r="D406" s="745" t="s">
        <v>65</v>
      </c>
      <c r="E406" s="745" t="s">
        <v>63</v>
      </c>
      <c r="F406" s="746" t="s">
        <v>90</v>
      </c>
      <c r="G406" s="150" t="s">
        <v>78</v>
      </c>
      <c r="H406" s="305">
        <f>'прил13(ведом 22-23)'!M58</f>
        <v>5000</v>
      </c>
      <c r="I406" s="305">
        <f>'прил13(ведом 22-23)'!N58</f>
        <v>5000</v>
      </c>
    </row>
    <row r="407" spans="1:9" ht="18.75">
      <c r="A407" s="291"/>
      <c r="B407" s="304"/>
      <c r="C407" s="744"/>
      <c r="D407" s="745"/>
      <c r="E407" s="745"/>
      <c r="F407" s="746"/>
      <c r="G407" s="150"/>
      <c r="H407" s="305"/>
      <c r="I407" s="305"/>
    </row>
    <row r="408" spans="1:9" s="303" customFormat="1" ht="18.75">
      <c r="A408" s="391">
        <v>18</v>
      </c>
      <c r="B408" s="433" t="s">
        <v>445</v>
      </c>
      <c r="C408" s="161"/>
      <c r="D408" s="162"/>
      <c r="E408" s="162"/>
      <c r="F408" s="163"/>
      <c r="G408" s="160"/>
      <c r="H408" s="302">
        <f>H409</f>
        <v>30290.2</v>
      </c>
      <c r="I408" s="302">
        <f>I409</f>
        <v>60960.7</v>
      </c>
    </row>
    <row r="409" spans="1:9" ht="18.75">
      <c r="A409" s="151"/>
      <c r="B409" s="434" t="s">
        <v>445</v>
      </c>
      <c r="C409" s="744"/>
      <c r="D409" s="745"/>
      <c r="E409" s="745"/>
      <c r="F409" s="746"/>
      <c r="G409" s="150"/>
      <c r="H409" s="484">
        <f>'прил13(ведом 22-23)'!M553</f>
        <v>30290.2</v>
      </c>
      <c r="I409" s="484">
        <f>'прил13(ведом 22-23)'!N553</f>
        <v>60960.7</v>
      </c>
    </row>
    <row r="410" spans="1:9" ht="18.75">
      <c r="A410" s="478"/>
      <c r="B410" s="528"/>
      <c r="C410" s="372"/>
      <c r="D410" s="372"/>
      <c r="E410" s="372"/>
      <c r="F410" s="372"/>
      <c r="G410" s="372"/>
      <c r="H410" s="529"/>
      <c r="I410" s="529"/>
    </row>
    <row r="411" spans="1:9" ht="18.75">
      <c r="A411" s="478"/>
      <c r="B411" s="528"/>
      <c r="C411" s="372"/>
      <c r="D411" s="372"/>
      <c r="E411" s="372"/>
      <c r="F411" s="372"/>
      <c r="G411" s="372"/>
      <c r="H411" s="529"/>
      <c r="I411" s="529"/>
    </row>
    <row r="412" spans="1:9" ht="18.75">
      <c r="A412" s="282"/>
      <c r="B412" s="283"/>
      <c r="C412" s="284"/>
      <c r="D412" s="284"/>
      <c r="E412" s="284"/>
      <c r="F412" s="284"/>
      <c r="G412" s="374"/>
    </row>
    <row r="413" spans="1:9" ht="18.75">
      <c r="A413" s="375" t="s">
        <v>467</v>
      </c>
      <c r="B413" s="283"/>
      <c r="C413" s="284"/>
      <c r="D413" s="284"/>
      <c r="E413" s="284"/>
      <c r="F413" s="284"/>
      <c r="G413" s="374"/>
    </row>
    <row r="414" spans="1:9" ht="18.75">
      <c r="A414" s="375" t="s">
        <v>468</v>
      </c>
      <c r="B414" s="283"/>
      <c r="C414" s="284"/>
      <c r="D414" s="284"/>
      <c r="E414" s="284"/>
      <c r="F414" s="284"/>
      <c r="G414" s="374"/>
    </row>
    <row r="415" spans="1:9" ht="18.75">
      <c r="A415" s="376" t="s">
        <v>469</v>
      </c>
      <c r="B415" s="283"/>
      <c r="C415" s="280"/>
      <c r="D415" s="284"/>
      <c r="E415" s="284"/>
      <c r="F415" s="284"/>
      <c r="G415" s="280"/>
      <c r="H415" s="280"/>
      <c r="I415" s="377" t="s">
        <v>494</v>
      </c>
    </row>
    <row r="416" spans="1:9">
      <c r="A416" s="282"/>
      <c r="B416" s="283"/>
      <c r="C416" s="284"/>
      <c r="D416" s="284"/>
      <c r="E416" s="284"/>
      <c r="F416" s="284"/>
    </row>
    <row r="417" spans="1:9">
      <c r="A417" s="282"/>
      <c r="B417" s="283"/>
      <c r="C417" s="284"/>
      <c r="D417" s="284"/>
      <c r="E417" s="284"/>
      <c r="F417" s="284"/>
    </row>
    <row r="418" spans="1:9">
      <c r="A418" s="282"/>
      <c r="B418" s="283"/>
      <c r="C418" s="284"/>
      <c r="D418" s="284"/>
      <c r="E418" s="284"/>
      <c r="F418" s="284"/>
    </row>
    <row r="419" spans="1:9" ht="18.75">
      <c r="A419" s="282"/>
      <c r="B419" s="283"/>
      <c r="C419" s="284"/>
      <c r="D419" s="284"/>
      <c r="E419" s="284"/>
      <c r="F419" s="284"/>
      <c r="G419" s="374"/>
    </row>
    <row r="420" spans="1:9">
      <c r="B420" s="276" t="s">
        <v>259</v>
      </c>
      <c r="H420" s="281">
        <f>H342+H312+H303+H255+H229+H212+H186+H163+H136+H96+H15+H291+H336+H318+H328</f>
        <v>1445158.5</v>
      </c>
      <c r="I420" s="281">
        <f>I342+I312+I303+I255+I229+I212+I186+I163+I136+I96+I15+I291+I336+I318+I328</f>
        <v>1441867.0999999999</v>
      </c>
    </row>
    <row r="422" spans="1:9">
      <c r="H422" s="281">
        <f>(H420/H14)*100</f>
        <v>97.33310936825751</v>
      </c>
      <c r="I422" s="281">
        <f>(I420/I14)*100</f>
        <v>95.353098550426552</v>
      </c>
    </row>
    <row r="423" spans="1:9">
      <c r="H423" s="281"/>
      <c r="I423" s="281"/>
    </row>
    <row r="424" spans="1:9">
      <c r="B424" s="276" t="s">
        <v>260</v>
      </c>
      <c r="H424" s="281">
        <f>H403+H396</f>
        <v>9306.6</v>
      </c>
      <c r="I424" s="281">
        <f>I403+I396</f>
        <v>9306.7000000000007</v>
      </c>
    </row>
    <row r="425" spans="1:9">
      <c r="H425" s="281">
        <f>(H424/H429)*100</f>
        <v>0.62681035723529654</v>
      </c>
      <c r="I425" s="281">
        <f>(I424/I429)*100</f>
        <v>0.61546773782358666</v>
      </c>
    </row>
    <row r="426" spans="1:9">
      <c r="H426" s="281"/>
      <c r="I426" s="281"/>
    </row>
    <row r="427" spans="1:9">
      <c r="B427" s="276" t="s">
        <v>447</v>
      </c>
      <c r="H427" s="281">
        <f>H408</f>
        <v>30290.2</v>
      </c>
      <c r="I427" s="281">
        <f>I408</f>
        <v>60960.7</v>
      </c>
    </row>
    <row r="428" spans="1:9">
      <c r="H428" s="281">
        <f>(H427/H429)*100</f>
        <v>2.0400802745071864</v>
      </c>
      <c r="I428" s="281">
        <f>(I427/I429)*100</f>
        <v>4.0314337117498482</v>
      </c>
    </row>
    <row r="429" spans="1:9">
      <c r="B429" s="276" t="s">
        <v>224</v>
      </c>
      <c r="H429" s="281">
        <f>H424+H420+H427</f>
        <v>1484755.3</v>
      </c>
      <c r="I429" s="281">
        <f>I424+I420+I427</f>
        <v>1512134.4999999998</v>
      </c>
    </row>
  </sheetData>
  <autoFilter ref="A4:L429"/>
  <mergeCells count="7">
    <mergeCell ref="A8:I8"/>
    <mergeCell ref="C13:F13"/>
    <mergeCell ref="H11:I11"/>
    <mergeCell ref="A11:A12"/>
    <mergeCell ref="B11:B12"/>
    <mergeCell ref="C11:F12"/>
    <mergeCell ref="G11:G12"/>
  </mergeCells>
  <printOptions horizontalCentered="1"/>
  <pageMargins left="1.1811023622047245" right="0.39370078740157483" top="0.78740157480314965" bottom="0.78740157480314965" header="0" footer="0"/>
  <pageSetup paperSize="9" scale="70" fitToHeight="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autoPageBreaks="0" fitToPage="1"/>
  </sheetPr>
  <dimension ref="A1:Y818"/>
  <sheetViews>
    <sheetView zoomScale="80" zoomScaleNormal="80" workbookViewId="0">
      <selection activeCell="M2" sqref="M2"/>
    </sheetView>
  </sheetViews>
  <sheetFormatPr defaultColWidth="8.85546875" defaultRowHeight="15"/>
  <cols>
    <col min="1" max="1" width="4.7109375" style="141" customWidth="1"/>
    <col min="2" max="2" width="54.42578125" style="141" customWidth="1"/>
    <col min="3" max="3" width="10" style="141" customWidth="1"/>
    <col min="4" max="4" width="3.7109375" style="141" customWidth="1"/>
    <col min="5" max="5" width="4" style="141" customWidth="1"/>
    <col min="6" max="6" width="3.28515625" style="141" customWidth="1"/>
    <col min="7" max="7" width="2.42578125" style="141" customWidth="1"/>
    <col min="8" max="8" width="2.7109375" style="141" customWidth="1"/>
    <col min="9" max="9" width="7.7109375" style="141" customWidth="1"/>
    <col min="10" max="10" width="5" style="141" customWidth="1"/>
    <col min="11" max="11" width="14.7109375" style="141" hidden="1" customWidth="1"/>
    <col min="12" max="12" width="18.7109375" style="141" customWidth="1"/>
    <col min="13" max="13" width="23.7109375" style="183" customWidth="1"/>
    <col min="14" max="14" width="10.140625" style="141" customWidth="1"/>
    <col min="15" max="16384" width="8.85546875" style="141"/>
  </cols>
  <sheetData>
    <row r="1" spans="1:14" s="194" customFormat="1" ht="18.75">
      <c r="K1" s="723"/>
      <c r="L1" s="722"/>
      <c r="M1" s="724" t="s">
        <v>541</v>
      </c>
    </row>
    <row r="2" spans="1:14" s="194" customFormat="1" ht="18.75" customHeight="1">
      <c r="K2" s="723"/>
      <c r="L2" s="722"/>
      <c r="M2" s="724" t="s">
        <v>1017</v>
      </c>
    </row>
    <row r="4" spans="1:14" ht="18.75">
      <c r="M4" s="445" t="s">
        <v>570</v>
      </c>
    </row>
    <row r="5" spans="1:14" ht="18.75">
      <c r="M5" s="496" t="s">
        <v>922</v>
      </c>
    </row>
    <row r="6" spans="1:14" ht="15" customHeight="1"/>
    <row r="7" spans="1:14" ht="15" customHeight="1"/>
    <row r="8" spans="1:14" ht="18.75" customHeight="1">
      <c r="A8" s="841" t="s">
        <v>773</v>
      </c>
      <c r="B8" s="841"/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1"/>
    </row>
    <row r="9" spans="1:14" ht="18.75" customHeight="1">
      <c r="A9" s="737"/>
      <c r="B9" s="737"/>
      <c r="C9" s="737"/>
      <c r="D9" s="737"/>
      <c r="E9" s="737"/>
      <c r="F9" s="737"/>
      <c r="G9" s="737"/>
      <c r="H9" s="737"/>
      <c r="I9" s="737"/>
      <c r="J9" s="737"/>
      <c r="K9" s="737"/>
      <c r="L9" s="737"/>
      <c r="M9" s="141"/>
    </row>
    <row r="10" spans="1:14" ht="18.75" customHeight="1">
      <c r="A10" s="142"/>
      <c r="B10" s="143"/>
      <c r="C10" s="144"/>
      <c r="D10" s="144"/>
      <c r="E10" s="144"/>
      <c r="F10" s="144"/>
      <c r="G10" s="142"/>
      <c r="H10" s="145"/>
      <c r="I10" s="146"/>
      <c r="J10" s="147"/>
      <c r="K10" s="147"/>
      <c r="L10" s="147"/>
      <c r="M10" s="184" t="s">
        <v>42</v>
      </c>
    </row>
    <row r="11" spans="1:14" ht="31.15" customHeight="1">
      <c r="A11" s="854" t="s">
        <v>43</v>
      </c>
      <c r="B11" s="856" t="s">
        <v>44</v>
      </c>
      <c r="C11" s="858" t="s">
        <v>45</v>
      </c>
      <c r="D11" s="858" t="s">
        <v>46</v>
      </c>
      <c r="E11" s="858" t="s">
        <v>47</v>
      </c>
      <c r="F11" s="860" t="s">
        <v>48</v>
      </c>
      <c r="G11" s="861"/>
      <c r="H11" s="861"/>
      <c r="I11" s="862"/>
      <c r="J11" s="858" t="s">
        <v>49</v>
      </c>
      <c r="K11" s="866" t="s">
        <v>923</v>
      </c>
      <c r="L11" s="868" t="s">
        <v>553</v>
      </c>
      <c r="M11" s="869"/>
    </row>
    <row r="12" spans="1:14" ht="37.9" customHeight="1">
      <c r="A12" s="855"/>
      <c r="B12" s="857"/>
      <c r="C12" s="859"/>
      <c r="D12" s="859"/>
      <c r="E12" s="859"/>
      <c r="F12" s="863"/>
      <c r="G12" s="864"/>
      <c r="H12" s="864"/>
      <c r="I12" s="865"/>
      <c r="J12" s="859"/>
      <c r="K12" s="867"/>
      <c r="L12" s="694" t="s">
        <v>924</v>
      </c>
      <c r="M12" s="693" t="s">
        <v>925</v>
      </c>
    </row>
    <row r="13" spans="1:14" ht="18.75" customHeight="1">
      <c r="A13" s="148">
        <v>1</v>
      </c>
      <c r="B13" s="149">
        <v>2</v>
      </c>
      <c r="C13" s="150" t="s">
        <v>50</v>
      </c>
      <c r="D13" s="150" t="s">
        <v>51</v>
      </c>
      <c r="E13" s="150" t="s">
        <v>52</v>
      </c>
      <c r="F13" s="851" t="s">
        <v>53</v>
      </c>
      <c r="G13" s="852"/>
      <c r="H13" s="852"/>
      <c r="I13" s="853"/>
      <c r="J13" s="150" t="s">
        <v>54</v>
      </c>
      <c r="K13" s="695"/>
      <c r="L13" s="150" t="s">
        <v>882</v>
      </c>
      <c r="M13" s="185">
        <v>9</v>
      </c>
    </row>
    <row r="14" spans="1:14" ht="18.75" customHeight="1">
      <c r="A14" s="151">
        <v>1</v>
      </c>
      <c r="B14" s="152" t="s">
        <v>224</v>
      </c>
      <c r="C14" s="153"/>
      <c r="D14" s="154"/>
      <c r="E14" s="154"/>
      <c r="F14" s="155"/>
      <c r="G14" s="156"/>
      <c r="H14" s="156"/>
      <c r="I14" s="157"/>
      <c r="J14" s="154"/>
      <c r="K14" s="726">
        <f>K15+K227+K263+K275+K507+K579+K628+K662+K355</f>
        <v>1562694.29</v>
      </c>
      <c r="L14" s="378">
        <f>L15+L227+L263+L275+L507+L579+L628+L662+L355</f>
        <v>31710.1</v>
      </c>
      <c r="M14" s="726">
        <f>M15+M227+M263+M275+M507+M579+M628+M662+M355</f>
        <v>1594404.3900000001</v>
      </c>
      <c r="N14" s="574"/>
    </row>
    <row r="15" spans="1:14" s="396" customFormat="1" ht="37.5" customHeight="1">
      <c r="A15" s="391">
        <v>1</v>
      </c>
      <c r="B15" s="158" t="s">
        <v>1</v>
      </c>
      <c r="C15" s="159" t="s">
        <v>3</v>
      </c>
      <c r="D15" s="160"/>
      <c r="E15" s="160"/>
      <c r="F15" s="161"/>
      <c r="G15" s="162"/>
      <c r="H15" s="162"/>
      <c r="I15" s="163"/>
      <c r="J15" s="160"/>
      <c r="K15" s="189">
        <f>K16+K86+K123+K164+K171+K197+K204</f>
        <v>137789.114</v>
      </c>
      <c r="L15" s="189">
        <f>L16+L86+L123+L164+L171+L197+L204</f>
        <v>2939.2000000000007</v>
      </c>
      <c r="M15" s="189">
        <f>M16+M86+M123+M164+M171+M197+M204</f>
        <v>140728.31400000001</v>
      </c>
    </row>
    <row r="16" spans="1:14" s="397" customFormat="1" ht="18.75" customHeight="1">
      <c r="A16" s="151"/>
      <c r="B16" s="164" t="s">
        <v>56</v>
      </c>
      <c r="C16" s="165" t="s">
        <v>3</v>
      </c>
      <c r="D16" s="150" t="s">
        <v>57</v>
      </c>
      <c r="E16" s="150"/>
      <c r="F16" s="744"/>
      <c r="G16" s="745"/>
      <c r="H16" s="745"/>
      <c r="I16" s="746"/>
      <c r="J16" s="150"/>
      <c r="K16" s="166">
        <f>K17+K23+K52+K57+K46</f>
        <v>88342.119000000006</v>
      </c>
      <c r="L16" s="166">
        <f>L17+L23+L52+L57+L46</f>
        <v>722.5</v>
      </c>
      <c r="M16" s="166">
        <f>M17+M23+M52+M57+M46</f>
        <v>89064.619000000006</v>
      </c>
    </row>
    <row r="17" spans="1:15" s="392" customFormat="1" ht="56.25" customHeight="1">
      <c r="A17" s="151"/>
      <c r="B17" s="164" t="s">
        <v>58</v>
      </c>
      <c r="C17" s="165" t="s">
        <v>3</v>
      </c>
      <c r="D17" s="150" t="s">
        <v>57</v>
      </c>
      <c r="E17" s="150" t="s">
        <v>59</v>
      </c>
      <c r="F17" s="744"/>
      <c r="G17" s="745"/>
      <c r="H17" s="745"/>
      <c r="I17" s="746"/>
      <c r="J17" s="150"/>
      <c r="K17" s="166">
        <f t="shared" ref="K17:M21" si="0">K18</f>
        <v>2067.1</v>
      </c>
      <c r="L17" s="166">
        <f t="shared" si="0"/>
        <v>0</v>
      </c>
      <c r="M17" s="166">
        <f t="shared" si="0"/>
        <v>2067.1</v>
      </c>
      <c r="O17" s="392" t="s">
        <v>748</v>
      </c>
    </row>
    <row r="18" spans="1:15" s="392" customFormat="1" ht="59.25" customHeight="1">
      <c r="A18" s="151"/>
      <c r="B18" s="164" t="s">
        <v>60</v>
      </c>
      <c r="C18" s="165" t="s">
        <v>3</v>
      </c>
      <c r="D18" s="150" t="s">
        <v>57</v>
      </c>
      <c r="E18" s="150" t="s">
        <v>59</v>
      </c>
      <c r="F18" s="744" t="s">
        <v>61</v>
      </c>
      <c r="G18" s="745" t="s">
        <v>62</v>
      </c>
      <c r="H18" s="745" t="s">
        <v>63</v>
      </c>
      <c r="I18" s="746" t="s">
        <v>64</v>
      </c>
      <c r="J18" s="150"/>
      <c r="K18" s="166">
        <f t="shared" si="0"/>
        <v>2067.1</v>
      </c>
      <c r="L18" s="166">
        <f t="shared" si="0"/>
        <v>0</v>
      </c>
      <c r="M18" s="166">
        <f t="shared" si="0"/>
        <v>2067.1</v>
      </c>
    </row>
    <row r="19" spans="1:15" s="392" customFormat="1" ht="37.5" customHeight="1">
      <c r="A19" s="151"/>
      <c r="B19" s="164" t="s">
        <v>404</v>
      </c>
      <c r="C19" s="165" t="s">
        <v>3</v>
      </c>
      <c r="D19" s="150" t="s">
        <v>57</v>
      </c>
      <c r="E19" s="150" t="s">
        <v>59</v>
      </c>
      <c r="F19" s="744" t="s">
        <v>61</v>
      </c>
      <c r="G19" s="745" t="s">
        <v>65</v>
      </c>
      <c r="H19" s="745" t="s">
        <v>63</v>
      </c>
      <c r="I19" s="746" t="s">
        <v>64</v>
      </c>
      <c r="J19" s="150"/>
      <c r="K19" s="166">
        <f t="shared" si="0"/>
        <v>2067.1</v>
      </c>
      <c r="L19" s="166">
        <f t="shared" si="0"/>
        <v>0</v>
      </c>
      <c r="M19" s="166">
        <f t="shared" si="0"/>
        <v>2067.1</v>
      </c>
    </row>
    <row r="20" spans="1:15" s="392" customFormat="1" ht="56.25" customHeight="1">
      <c r="A20" s="151"/>
      <c r="B20" s="164" t="s">
        <v>66</v>
      </c>
      <c r="C20" s="165" t="s">
        <v>3</v>
      </c>
      <c r="D20" s="150" t="s">
        <v>57</v>
      </c>
      <c r="E20" s="150" t="s">
        <v>59</v>
      </c>
      <c r="F20" s="744" t="s">
        <v>61</v>
      </c>
      <c r="G20" s="745" t="s">
        <v>65</v>
      </c>
      <c r="H20" s="745" t="s">
        <v>57</v>
      </c>
      <c r="I20" s="746" t="s">
        <v>64</v>
      </c>
      <c r="J20" s="150"/>
      <c r="K20" s="166">
        <f t="shared" si="0"/>
        <v>2067.1</v>
      </c>
      <c r="L20" s="166">
        <f t="shared" si="0"/>
        <v>0</v>
      </c>
      <c r="M20" s="166">
        <f t="shared" si="0"/>
        <v>2067.1</v>
      </c>
    </row>
    <row r="21" spans="1:15" s="392" customFormat="1" ht="37.5" customHeight="1">
      <c r="A21" s="151"/>
      <c r="B21" s="164" t="s">
        <v>67</v>
      </c>
      <c r="C21" s="165" t="s">
        <v>3</v>
      </c>
      <c r="D21" s="150" t="s">
        <v>57</v>
      </c>
      <c r="E21" s="150" t="s">
        <v>59</v>
      </c>
      <c r="F21" s="744" t="s">
        <v>61</v>
      </c>
      <c r="G21" s="745" t="s">
        <v>65</v>
      </c>
      <c r="H21" s="745" t="s">
        <v>57</v>
      </c>
      <c r="I21" s="746" t="s">
        <v>68</v>
      </c>
      <c r="J21" s="150"/>
      <c r="K21" s="166">
        <f>K22</f>
        <v>2067.1</v>
      </c>
      <c r="L21" s="166">
        <f t="shared" si="0"/>
        <v>0</v>
      </c>
      <c r="M21" s="166">
        <f>M22</f>
        <v>2067.1</v>
      </c>
    </row>
    <row r="22" spans="1:15" s="392" customFormat="1" ht="112.5" customHeight="1">
      <c r="A22" s="151"/>
      <c r="B22" s="164" t="s">
        <v>69</v>
      </c>
      <c r="C22" s="165" t="s">
        <v>3</v>
      </c>
      <c r="D22" s="150" t="s">
        <v>57</v>
      </c>
      <c r="E22" s="150" t="s">
        <v>59</v>
      </c>
      <c r="F22" s="744" t="s">
        <v>61</v>
      </c>
      <c r="G22" s="745" t="s">
        <v>65</v>
      </c>
      <c r="H22" s="745" t="s">
        <v>57</v>
      </c>
      <c r="I22" s="746" t="s">
        <v>68</v>
      </c>
      <c r="J22" s="150" t="s">
        <v>70</v>
      </c>
      <c r="K22" s="166">
        <v>2067.1</v>
      </c>
      <c r="L22" s="166">
        <f>M22-K22</f>
        <v>0</v>
      </c>
      <c r="M22" s="166">
        <v>2067.1</v>
      </c>
    </row>
    <row r="23" spans="1:15" s="397" customFormat="1" ht="75.75" customHeight="1">
      <c r="A23" s="151"/>
      <c r="B23" s="164" t="s">
        <v>71</v>
      </c>
      <c r="C23" s="165" t="s">
        <v>3</v>
      </c>
      <c r="D23" s="150" t="s">
        <v>57</v>
      </c>
      <c r="E23" s="150" t="s">
        <v>72</v>
      </c>
      <c r="F23" s="744"/>
      <c r="G23" s="745"/>
      <c r="H23" s="745"/>
      <c r="I23" s="746"/>
      <c r="J23" s="150"/>
      <c r="K23" s="166">
        <f t="shared" ref="K23:M24" si="1">K24</f>
        <v>70931.130999999994</v>
      </c>
      <c r="L23" s="166">
        <f t="shared" si="1"/>
        <v>433.19999999999982</v>
      </c>
      <c r="M23" s="166">
        <f t="shared" si="1"/>
        <v>71364.330999999991</v>
      </c>
    </row>
    <row r="24" spans="1:15" s="397" customFormat="1" ht="60" customHeight="1">
      <c r="A24" s="151"/>
      <c r="B24" s="164" t="s">
        <v>73</v>
      </c>
      <c r="C24" s="165" t="s">
        <v>3</v>
      </c>
      <c r="D24" s="150" t="s">
        <v>57</v>
      </c>
      <c r="E24" s="150" t="s">
        <v>72</v>
      </c>
      <c r="F24" s="744" t="s">
        <v>61</v>
      </c>
      <c r="G24" s="745" t="s">
        <v>62</v>
      </c>
      <c r="H24" s="745" t="s">
        <v>63</v>
      </c>
      <c r="I24" s="746" t="s">
        <v>64</v>
      </c>
      <c r="J24" s="150"/>
      <c r="K24" s="166">
        <f t="shared" si="1"/>
        <v>70931.130999999994</v>
      </c>
      <c r="L24" s="166">
        <f t="shared" si="1"/>
        <v>433.19999999999982</v>
      </c>
      <c r="M24" s="166">
        <f t="shared" si="1"/>
        <v>71364.330999999991</v>
      </c>
    </row>
    <row r="25" spans="1:15" s="147" customFormat="1" ht="37.5" customHeight="1">
      <c r="A25" s="151"/>
      <c r="B25" s="164" t="s">
        <v>404</v>
      </c>
      <c r="C25" s="165" t="s">
        <v>3</v>
      </c>
      <c r="D25" s="150" t="s">
        <v>57</v>
      </c>
      <c r="E25" s="150" t="s">
        <v>72</v>
      </c>
      <c r="F25" s="744" t="s">
        <v>61</v>
      </c>
      <c r="G25" s="745" t="s">
        <v>65</v>
      </c>
      <c r="H25" s="745" t="s">
        <v>63</v>
      </c>
      <c r="I25" s="746" t="s">
        <v>64</v>
      </c>
      <c r="J25" s="150"/>
      <c r="K25" s="166">
        <f>K26+K43</f>
        <v>70931.130999999994</v>
      </c>
      <c r="L25" s="166">
        <f>L26+L43</f>
        <v>433.19999999999982</v>
      </c>
      <c r="M25" s="166">
        <f>M26+M43</f>
        <v>71364.330999999991</v>
      </c>
    </row>
    <row r="26" spans="1:15" s="147" customFormat="1" ht="37.5" customHeight="1">
      <c r="A26" s="151"/>
      <c r="B26" s="164" t="s">
        <v>74</v>
      </c>
      <c r="C26" s="165" t="s">
        <v>3</v>
      </c>
      <c r="D26" s="150" t="s">
        <v>57</v>
      </c>
      <c r="E26" s="150" t="s">
        <v>72</v>
      </c>
      <c r="F26" s="744" t="s">
        <v>61</v>
      </c>
      <c r="G26" s="745" t="s">
        <v>65</v>
      </c>
      <c r="H26" s="745" t="s">
        <v>59</v>
      </c>
      <c r="I26" s="746" t="s">
        <v>64</v>
      </c>
      <c r="J26" s="150"/>
      <c r="K26" s="166">
        <f>K27+K33+K35+K38+K31+K41</f>
        <v>70817.930999999997</v>
      </c>
      <c r="L26" s="166">
        <f>L27+L33+L35+L38+L31+L41</f>
        <v>433.19999999999982</v>
      </c>
      <c r="M26" s="166">
        <f>M27+M33+M35+M38+M31+M41</f>
        <v>71251.130999999994</v>
      </c>
    </row>
    <row r="27" spans="1:15" s="392" customFormat="1" ht="37.5" customHeight="1">
      <c r="A27" s="151"/>
      <c r="B27" s="164" t="s">
        <v>67</v>
      </c>
      <c r="C27" s="165" t="s">
        <v>3</v>
      </c>
      <c r="D27" s="150" t="s">
        <v>57</v>
      </c>
      <c r="E27" s="150" t="s">
        <v>72</v>
      </c>
      <c r="F27" s="744" t="s">
        <v>61</v>
      </c>
      <c r="G27" s="745" t="s">
        <v>65</v>
      </c>
      <c r="H27" s="745" t="s">
        <v>59</v>
      </c>
      <c r="I27" s="746" t="s">
        <v>68</v>
      </c>
      <c r="J27" s="150"/>
      <c r="K27" s="166">
        <f>K28+K29+K30</f>
        <v>65971.130999999994</v>
      </c>
      <c r="L27" s="166">
        <f>L28+L29+L30</f>
        <v>433.19999999999982</v>
      </c>
      <c r="M27" s="166">
        <f>M28+M29+M30</f>
        <v>66404.330999999991</v>
      </c>
    </row>
    <row r="28" spans="1:15" s="392" customFormat="1" ht="112.5" customHeight="1">
      <c r="A28" s="151"/>
      <c r="B28" s="164" t="s">
        <v>69</v>
      </c>
      <c r="C28" s="165" t="s">
        <v>3</v>
      </c>
      <c r="D28" s="150" t="s">
        <v>57</v>
      </c>
      <c r="E28" s="150" t="s">
        <v>72</v>
      </c>
      <c r="F28" s="744" t="s">
        <v>61</v>
      </c>
      <c r="G28" s="745" t="s">
        <v>65</v>
      </c>
      <c r="H28" s="745" t="s">
        <v>59</v>
      </c>
      <c r="I28" s="746" t="s">
        <v>68</v>
      </c>
      <c r="J28" s="150" t="s">
        <v>70</v>
      </c>
      <c r="K28" s="166">
        <v>59795.8</v>
      </c>
      <c r="L28" s="166">
        <f>M28-K28</f>
        <v>0</v>
      </c>
      <c r="M28" s="166">
        <v>59795.8</v>
      </c>
      <c r="N28" s="397"/>
    </row>
    <row r="29" spans="1:15" s="147" customFormat="1" ht="56.25" customHeight="1">
      <c r="A29" s="151"/>
      <c r="B29" s="164" t="s">
        <v>75</v>
      </c>
      <c r="C29" s="165" t="s">
        <v>3</v>
      </c>
      <c r="D29" s="150" t="s">
        <v>57</v>
      </c>
      <c r="E29" s="150" t="s">
        <v>72</v>
      </c>
      <c r="F29" s="744" t="s">
        <v>61</v>
      </c>
      <c r="G29" s="745" t="s">
        <v>65</v>
      </c>
      <c r="H29" s="745" t="s">
        <v>59</v>
      </c>
      <c r="I29" s="746" t="s">
        <v>68</v>
      </c>
      <c r="J29" s="150" t="s">
        <v>76</v>
      </c>
      <c r="K29" s="166">
        <f>5981.4+45.331+56.7</f>
        <v>6083.4309999999996</v>
      </c>
      <c r="L29" s="166">
        <f>M29-K29</f>
        <v>433.19999999999982</v>
      </c>
      <c r="M29" s="764">
        <f>5981.4+45.331+56.7-50+48.8+50+204.4+180</f>
        <v>6516.6309999999994</v>
      </c>
    </row>
    <row r="30" spans="1:15" s="392" customFormat="1" ht="18.75" customHeight="1">
      <c r="A30" s="151"/>
      <c r="B30" s="164" t="s">
        <v>77</v>
      </c>
      <c r="C30" s="165" t="s">
        <v>3</v>
      </c>
      <c r="D30" s="150" t="s">
        <v>57</v>
      </c>
      <c r="E30" s="150" t="s">
        <v>72</v>
      </c>
      <c r="F30" s="744" t="s">
        <v>61</v>
      </c>
      <c r="G30" s="745" t="s">
        <v>65</v>
      </c>
      <c r="H30" s="745" t="s">
        <v>59</v>
      </c>
      <c r="I30" s="746" t="s">
        <v>68</v>
      </c>
      <c r="J30" s="150" t="s">
        <v>78</v>
      </c>
      <c r="K30" s="166">
        <v>91.9</v>
      </c>
      <c r="L30" s="166">
        <f>M30-K30</f>
        <v>0</v>
      </c>
      <c r="M30" s="166">
        <v>91.9</v>
      </c>
      <c r="N30" s="147"/>
    </row>
    <row r="31" spans="1:15" s="397" customFormat="1" ht="97.5" customHeight="1">
      <c r="A31" s="151"/>
      <c r="B31" s="164" t="s">
        <v>750</v>
      </c>
      <c r="C31" s="165" t="s">
        <v>3</v>
      </c>
      <c r="D31" s="150" t="s">
        <v>57</v>
      </c>
      <c r="E31" s="150" t="s">
        <v>72</v>
      </c>
      <c r="F31" s="744" t="s">
        <v>61</v>
      </c>
      <c r="G31" s="745" t="s">
        <v>65</v>
      </c>
      <c r="H31" s="745" t="s">
        <v>59</v>
      </c>
      <c r="I31" s="746" t="s">
        <v>305</v>
      </c>
      <c r="J31" s="150"/>
      <c r="K31" s="166">
        <f>K32</f>
        <v>66</v>
      </c>
      <c r="L31" s="166">
        <f>L32</f>
        <v>0</v>
      </c>
      <c r="M31" s="166">
        <f>M32</f>
        <v>66</v>
      </c>
    </row>
    <row r="32" spans="1:15" s="397" customFormat="1" ht="56.25" customHeight="1">
      <c r="A32" s="151"/>
      <c r="B32" s="164" t="s">
        <v>75</v>
      </c>
      <c r="C32" s="165" t="s">
        <v>3</v>
      </c>
      <c r="D32" s="150" t="s">
        <v>57</v>
      </c>
      <c r="E32" s="150" t="s">
        <v>72</v>
      </c>
      <c r="F32" s="744" t="s">
        <v>61</v>
      </c>
      <c r="G32" s="745" t="s">
        <v>65</v>
      </c>
      <c r="H32" s="745" t="s">
        <v>59</v>
      </c>
      <c r="I32" s="746" t="s">
        <v>305</v>
      </c>
      <c r="J32" s="150" t="s">
        <v>76</v>
      </c>
      <c r="K32" s="166">
        <v>66</v>
      </c>
      <c r="L32" s="166">
        <f>M32-K32</f>
        <v>0</v>
      </c>
      <c r="M32" s="166">
        <v>66</v>
      </c>
    </row>
    <row r="33" spans="1:13" s="397" customFormat="1" ht="211.5" customHeight="1">
      <c r="A33" s="151"/>
      <c r="B33" s="196" t="s">
        <v>760</v>
      </c>
      <c r="C33" s="165" t="s">
        <v>3</v>
      </c>
      <c r="D33" s="150" t="s">
        <v>57</v>
      </c>
      <c r="E33" s="150" t="s">
        <v>72</v>
      </c>
      <c r="F33" s="744" t="s">
        <v>61</v>
      </c>
      <c r="G33" s="745" t="s">
        <v>65</v>
      </c>
      <c r="H33" s="745" t="s">
        <v>59</v>
      </c>
      <c r="I33" s="746" t="s">
        <v>79</v>
      </c>
      <c r="J33" s="150"/>
      <c r="K33" s="166">
        <f>K34</f>
        <v>636.5</v>
      </c>
      <c r="L33" s="166">
        <f>L34</f>
        <v>0</v>
      </c>
      <c r="M33" s="166">
        <f>M34</f>
        <v>636.5</v>
      </c>
    </row>
    <row r="34" spans="1:13" s="397" customFormat="1" ht="112.5" customHeight="1">
      <c r="A34" s="151"/>
      <c r="B34" s="164" t="s">
        <v>69</v>
      </c>
      <c r="C34" s="165" t="s">
        <v>3</v>
      </c>
      <c r="D34" s="150" t="s">
        <v>57</v>
      </c>
      <c r="E34" s="150" t="s">
        <v>72</v>
      </c>
      <c r="F34" s="744" t="s">
        <v>61</v>
      </c>
      <c r="G34" s="745" t="s">
        <v>65</v>
      </c>
      <c r="H34" s="745" t="s">
        <v>59</v>
      </c>
      <c r="I34" s="746" t="s">
        <v>79</v>
      </c>
      <c r="J34" s="150" t="s">
        <v>70</v>
      </c>
      <c r="K34" s="166">
        <v>636.5</v>
      </c>
      <c r="L34" s="166">
        <f>M34-K34</f>
        <v>0</v>
      </c>
      <c r="M34" s="166">
        <v>636.5</v>
      </c>
    </row>
    <row r="35" spans="1:13" s="397" customFormat="1" ht="78.75" customHeight="1">
      <c r="A35" s="151"/>
      <c r="B35" s="164" t="s">
        <v>80</v>
      </c>
      <c r="C35" s="165" t="s">
        <v>3</v>
      </c>
      <c r="D35" s="150" t="s">
        <v>57</v>
      </c>
      <c r="E35" s="150" t="s">
        <v>72</v>
      </c>
      <c r="F35" s="744" t="s">
        <v>61</v>
      </c>
      <c r="G35" s="745" t="s">
        <v>65</v>
      </c>
      <c r="H35" s="745" t="s">
        <v>59</v>
      </c>
      <c r="I35" s="746" t="s">
        <v>81</v>
      </c>
      <c r="J35" s="150"/>
      <c r="K35" s="166">
        <f>SUM(K36:K37)</f>
        <v>3441.6</v>
      </c>
      <c r="L35" s="166">
        <f>SUM(L36:L37)</f>
        <v>0</v>
      </c>
      <c r="M35" s="166">
        <f>SUM(M36:M37)</f>
        <v>3441.6</v>
      </c>
    </row>
    <row r="36" spans="1:13" s="397" customFormat="1" ht="112.5" customHeight="1">
      <c r="A36" s="151"/>
      <c r="B36" s="164" t="s">
        <v>69</v>
      </c>
      <c r="C36" s="165" t="s">
        <v>3</v>
      </c>
      <c r="D36" s="150" t="s">
        <v>57</v>
      </c>
      <c r="E36" s="150" t="s">
        <v>72</v>
      </c>
      <c r="F36" s="744" t="s">
        <v>61</v>
      </c>
      <c r="G36" s="745" t="s">
        <v>65</v>
      </c>
      <c r="H36" s="745" t="s">
        <v>59</v>
      </c>
      <c r="I36" s="746" t="s">
        <v>81</v>
      </c>
      <c r="J36" s="150" t="s">
        <v>70</v>
      </c>
      <c r="K36" s="166">
        <v>3251.6</v>
      </c>
      <c r="L36" s="166">
        <f>M36-K36</f>
        <v>0</v>
      </c>
      <c r="M36" s="166">
        <v>3251.6</v>
      </c>
    </row>
    <row r="37" spans="1:13" s="147" customFormat="1" ht="56.25" customHeight="1">
      <c r="A37" s="151"/>
      <c r="B37" s="164" t="s">
        <v>75</v>
      </c>
      <c r="C37" s="165" t="s">
        <v>3</v>
      </c>
      <c r="D37" s="150" t="s">
        <v>57</v>
      </c>
      <c r="E37" s="150" t="s">
        <v>72</v>
      </c>
      <c r="F37" s="744" t="s">
        <v>61</v>
      </c>
      <c r="G37" s="745" t="s">
        <v>65</v>
      </c>
      <c r="H37" s="745" t="s">
        <v>59</v>
      </c>
      <c r="I37" s="746" t="s">
        <v>81</v>
      </c>
      <c r="J37" s="150" t="s">
        <v>76</v>
      </c>
      <c r="K37" s="166">
        <v>190</v>
      </c>
      <c r="L37" s="166">
        <f>M37-K37</f>
        <v>0</v>
      </c>
      <c r="M37" s="166">
        <v>190</v>
      </c>
    </row>
    <row r="38" spans="1:13" s="397" customFormat="1" ht="75" customHeight="1">
      <c r="A38" s="151"/>
      <c r="B38" s="164" t="s">
        <v>583</v>
      </c>
      <c r="C38" s="165" t="s">
        <v>3</v>
      </c>
      <c r="D38" s="150" t="s">
        <v>57</v>
      </c>
      <c r="E38" s="150" t="s">
        <v>72</v>
      </c>
      <c r="F38" s="744" t="s">
        <v>61</v>
      </c>
      <c r="G38" s="745" t="s">
        <v>65</v>
      </c>
      <c r="H38" s="745" t="s">
        <v>59</v>
      </c>
      <c r="I38" s="746" t="s">
        <v>82</v>
      </c>
      <c r="J38" s="150"/>
      <c r="K38" s="166">
        <f>K39+K40</f>
        <v>636.70000000000005</v>
      </c>
      <c r="L38" s="166">
        <f>L39+L40</f>
        <v>0</v>
      </c>
      <c r="M38" s="166">
        <f>M39+M40</f>
        <v>636.70000000000005</v>
      </c>
    </row>
    <row r="39" spans="1:13" s="397" customFormat="1" ht="112.5" customHeight="1">
      <c r="A39" s="151"/>
      <c r="B39" s="164" t="s">
        <v>69</v>
      </c>
      <c r="C39" s="165" t="s">
        <v>3</v>
      </c>
      <c r="D39" s="150" t="s">
        <v>57</v>
      </c>
      <c r="E39" s="150" t="s">
        <v>72</v>
      </c>
      <c r="F39" s="744" t="s">
        <v>61</v>
      </c>
      <c r="G39" s="745" t="s">
        <v>65</v>
      </c>
      <c r="H39" s="745" t="s">
        <v>59</v>
      </c>
      <c r="I39" s="746" t="s">
        <v>82</v>
      </c>
      <c r="J39" s="150" t="s">
        <v>70</v>
      </c>
      <c r="K39" s="166">
        <v>632.5</v>
      </c>
      <c r="L39" s="166">
        <f>M39-K39</f>
        <v>0</v>
      </c>
      <c r="M39" s="166">
        <v>632.5</v>
      </c>
    </row>
    <row r="40" spans="1:13" s="397" customFormat="1" ht="56.25" customHeight="1">
      <c r="A40" s="151"/>
      <c r="B40" s="164" t="s">
        <v>75</v>
      </c>
      <c r="C40" s="165" t="s">
        <v>3</v>
      </c>
      <c r="D40" s="150" t="s">
        <v>57</v>
      </c>
      <c r="E40" s="150" t="s">
        <v>72</v>
      </c>
      <c r="F40" s="744" t="s">
        <v>61</v>
      </c>
      <c r="G40" s="745" t="s">
        <v>65</v>
      </c>
      <c r="H40" s="745" t="s">
        <v>59</v>
      </c>
      <c r="I40" s="746" t="s">
        <v>82</v>
      </c>
      <c r="J40" s="150" t="s">
        <v>76</v>
      </c>
      <c r="K40" s="166">
        <v>4.2</v>
      </c>
      <c r="L40" s="166">
        <f>M40-K40</f>
        <v>0</v>
      </c>
      <c r="M40" s="166">
        <v>4.2</v>
      </c>
    </row>
    <row r="41" spans="1:13" s="397" customFormat="1" ht="189" customHeight="1">
      <c r="A41" s="151"/>
      <c r="B41" s="196" t="s">
        <v>466</v>
      </c>
      <c r="C41" s="165" t="s">
        <v>3</v>
      </c>
      <c r="D41" s="150" t="s">
        <v>57</v>
      </c>
      <c r="E41" s="150" t="s">
        <v>72</v>
      </c>
      <c r="F41" s="744" t="s">
        <v>61</v>
      </c>
      <c r="G41" s="745" t="s">
        <v>65</v>
      </c>
      <c r="H41" s="745" t="s">
        <v>59</v>
      </c>
      <c r="I41" s="746" t="s">
        <v>465</v>
      </c>
      <c r="J41" s="150"/>
      <c r="K41" s="166">
        <f>K42</f>
        <v>66</v>
      </c>
      <c r="L41" s="166">
        <f>L42</f>
        <v>0</v>
      </c>
      <c r="M41" s="166">
        <f>M42</f>
        <v>66</v>
      </c>
    </row>
    <row r="42" spans="1:13" s="397" customFormat="1" ht="56.25" customHeight="1">
      <c r="A42" s="151"/>
      <c r="B42" s="164" t="s">
        <v>75</v>
      </c>
      <c r="C42" s="165" t="s">
        <v>3</v>
      </c>
      <c r="D42" s="150" t="s">
        <v>57</v>
      </c>
      <c r="E42" s="150" t="s">
        <v>72</v>
      </c>
      <c r="F42" s="744" t="s">
        <v>61</v>
      </c>
      <c r="G42" s="745" t="s">
        <v>65</v>
      </c>
      <c r="H42" s="745" t="s">
        <v>59</v>
      </c>
      <c r="I42" s="746" t="s">
        <v>465</v>
      </c>
      <c r="J42" s="150" t="s">
        <v>76</v>
      </c>
      <c r="K42" s="166">
        <v>66</v>
      </c>
      <c r="L42" s="166">
        <f>M42-K42</f>
        <v>0</v>
      </c>
      <c r="M42" s="166">
        <v>66</v>
      </c>
    </row>
    <row r="43" spans="1:13" s="147" customFormat="1" ht="18.75" customHeight="1">
      <c r="A43" s="151"/>
      <c r="B43" s="164" t="s">
        <v>83</v>
      </c>
      <c r="C43" s="165" t="s">
        <v>3</v>
      </c>
      <c r="D43" s="150" t="s">
        <v>57</v>
      </c>
      <c r="E43" s="150" t="s">
        <v>72</v>
      </c>
      <c r="F43" s="744" t="s">
        <v>61</v>
      </c>
      <c r="G43" s="745" t="s">
        <v>65</v>
      </c>
      <c r="H43" s="745" t="s">
        <v>84</v>
      </c>
      <c r="I43" s="746" t="s">
        <v>64</v>
      </c>
      <c r="J43" s="150"/>
      <c r="K43" s="166">
        <f t="shared" ref="K43:M44" si="2">K44</f>
        <v>113.2</v>
      </c>
      <c r="L43" s="166">
        <f t="shared" si="2"/>
        <v>0</v>
      </c>
      <c r="M43" s="166">
        <f t="shared" si="2"/>
        <v>113.2</v>
      </c>
    </row>
    <row r="44" spans="1:13" s="392" customFormat="1" ht="37.5" customHeight="1">
      <c r="A44" s="151"/>
      <c r="B44" s="164" t="s">
        <v>67</v>
      </c>
      <c r="C44" s="165" t="s">
        <v>3</v>
      </c>
      <c r="D44" s="150" t="s">
        <v>57</v>
      </c>
      <c r="E44" s="150" t="s">
        <v>72</v>
      </c>
      <c r="F44" s="744" t="s">
        <v>61</v>
      </c>
      <c r="G44" s="745" t="s">
        <v>65</v>
      </c>
      <c r="H44" s="745" t="s">
        <v>84</v>
      </c>
      <c r="I44" s="746" t="s">
        <v>68</v>
      </c>
      <c r="J44" s="150"/>
      <c r="K44" s="166">
        <f>K45</f>
        <v>113.2</v>
      </c>
      <c r="L44" s="166">
        <f t="shared" si="2"/>
        <v>0</v>
      </c>
      <c r="M44" s="166">
        <f>M45</f>
        <v>113.2</v>
      </c>
    </row>
    <row r="45" spans="1:13" s="147" customFormat="1" ht="56.25" customHeight="1">
      <c r="A45" s="151"/>
      <c r="B45" s="164" t="s">
        <v>75</v>
      </c>
      <c r="C45" s="165" t="s">
        <v>3</v>
      </c>
      <c r="D45" s="150" t="s">
        <v>57</v>
      </c>
      <c r="E45" s="150" t="s">
        <v>72</v>
      </c>
      <c r="F45" s="744" t="s">
        <v>61</v>
      </c>
      <c r="G45" s="745" t="s">
        <v>65</v>
      </c>
      <c r="H45" s="745" t="s">
        <v>84</v>
      </c>
      <c r="I45" s="746" t="s">
        <v>68</v>
      </c>
      <c r="J45" s="150" t="s">
        <v>76</v>
      </c>
      <c r="K45" s="166">
        <v>113.2</v>
      </c>
      <c r="L45" s="166">
        <f>M45-K45</f>
        <v>0</v>
      </c>
      <c r="M45" s="166">
        <v>113.2</v>
      </c>
    </row>
    <row r="46" spans="1:13" s="147" customFormat="1" ht="18.75" customHeight="1">
      <c r="A46" s="151"/>
      <c r="B46" s="164" t="s">
        <v>488</v>
      </c>
      <c r="C46" s="165" t="s">
        <v>3</v>
      </c>
      <c r="D46" s="150" t="s">
        <v>57</v>
      </c>
      <c r="E46" s="150" t="s">
        <v>86</v>
      </c>
      <c r="F46" s="744"/>
      <c r="G46" s="745"/>
      <c r="H46" s="745"/>
      <c r="I46" s="746"/>
      <c r="J46" s="150"/>
      <c r="K46" s="166">
        <f t="shared" ref="K46:M50" si="3">K47</f>
        <v>13.2</v>
      </c>
      <c r="L46" s="166">
        <f t="shared" si="3"/>
        <v>0</v>
      </c>
      <c r="M46" s="166">
        <f t="shared" si="3"/>
        <v>13.2</v>
      </c>
    </row>
    <row r="47" spans="1:13" s="147" customFormat="1" ht="59.25" customHeight="1">
      <c r="A47" s="151"/>
      <c r="B47" s="164" t="s">
        <v>73</v>
      </c>
      <c r="C47" s="165" t="s">
        <v>3</v>
      </c>
      <c r="D47" s="150" t="s">
        <v>57</v>
      </c>
      <c r="E47" s="150" t="s">
        <v>86</v>
      </c>
      <c r="F47" s="744" t="s">
        <v>61</v>
      </c>
      <c r="G47" s="745" t="s">
        <v>62</v>
      </c>
      <c r="H47" s="745" t="s">
        <v>63</v>
      </c>
      <c r="I47" s="746" t="s">
        <v>64</v>
      </c>
      <c r="J47" s="150"/>
      <c r="K47" s="166">
        <f t="shared" si="3"/>
        <v>13.2</v>
      </c>
      <c r="L47" s="166">
        <f t="shared" si="3"/>
        <v>0</v>
      </c>
      <c r="M47" s="166">
        <f t="shared" si="3"/>
        <v>13.2</v>
      </c>
    </row>
    <row r="48" spans="1:13" s="147" customFormat="1" ht="37.5" customHeight="1">
      <c r="A48" s="151"/>
      <c r="B48" s="164" t="s">
        <v>404</v>
      </c>
      <c r="C48" s="165" t="s">
        <v>3</v>
      </c>
      <c r="D48" s="150" t="s">
        <v>57</v>
      </c>
      <c r="E48" s="150" t="s">
        <v>86</v>
      </c>
      <c r="F48" s="744" t="s">
        <v>61</v>
      </c>
      <c r="G48" s="745" t="s">
        <v>65</v>
      </c>
      <c r="H48" s="745" t="s">
        <v>63</v>
      </c>
      <c r="I48" s="746" t="s">
        <v>64</v>
      </c>
      <c r="J48" s="150"/>
      <c r="K48" s="166">
        <f t="shared" si="3"/>
        <v>13.2</v>
      </c>
      <c r="L48" s="166">
        <f t="shared" si="3"/>
        <v>0</v>
      </c>
      <c r="M48" s="166">
        <f t="shared" si="3"/>
        <v>13.2</v>
      </c>
    </row>
    <row r="49" spans="1:13" s="147" customFormat="1" ht="37.5" customHeight="1">
      <c r="A49" s="151"/>
      <c r="B49" s="164" t="s">
        <v>74</v>
      </c>
      <c r="C49" s="165" t="s">
        <v>3</v>
      </c>
      <c r="D49" s="150" t="s">
        <v>57</v>
      </c>
      <c r="E49" s="150" t="s">
        <v>86</v>
      </c>
      <c r="F49" s="744" t="s">
        <v>61</v>
      </c>
      <c r="G49" s="745" t="s">
        <v>65</v>
      </c>
      <c r="H49" s="745" t="s">
        <v>59</v>
      </c>
      <c r="I49" s="746" t="s">
        <v>64</v>
      </c>
      <c r="J49" s="150"/>
      <c r="K49" s="166">
        <f t="shared" si="3"/>
        <v>13.2</v>
      </c>
      <c r="L49" s="166">
        <f t="shared" si="3"/>
        <v>0</v>
      </c>
      <c r="M49" s="166">
        <f t="shared" si="3"/>
        <v>13.2</v>
      </c>
    </row>
    <row r="50" spans="1:13" s="147" customFormat="1" ht="79.5" customHeight="1">
      <c r="A50" s="151"/>
      <c r="B50" s="164" t="s">
        <v>490</v>
      </c>
      <c r="C50" s="165" t="s">
        <v>3</v>
      </c>
      <c r="D50" s="150" t="s">
        <v>57</v>
      </c>
      <c r="E50" s="150" t="s">
        <v>86</v>
      </c>
      <c r="F50" s="744" t="s">
        <v>61</v>
      </c>
      <c r="G50" s="745" t="s">
        <v>65</v>
      </c>
      <c r="H50" s="745" t="s">
        <v>59</v>
      </c>
      <c r="I50" s="746" t="s">
        <v>489</v>
      </c>
      <c r="J50" s="150"/>
      <c r="K50" s="166">
        <f>K51</f>
        <v>13.2</v>
      </c>
      <c r="L50" s="166">
        <f t="shared" si="3"/>
        <v>0</v>
      </c>
      <c r="M50" s="166">
        <f>M51</f>
        <v>13.2</v>
      </c>
    </row>
    <row r="51" spans="1:13" s="147" customFormat="1" ht="56.25" customHeight="1">
      <c r="A51" s="151"/>
      <c r="B51" s="164" t="s">
        <v>75</v>
      </c>
      <c r="C51" s="165" t="s">
        <v>3</v>
      </c>
      <c r="D51" s="150" t="s">
        <v>57</v>
      </c>
      <c r="E51" s="150" t="s">
        <v>86</v>
      </c>
      <c r="F51" s="744" t="s">
        <v>61</v>
      </c>
      <c r="G51" s="745" t="s">
        <v>65</v>
      </c>
      <c r="H51" s="745" t="s">
        <v>59</v>
      </c>
      <c r="I51" s="746" t="s">
        <v>489</v>
      </c>
      <c r="J51" s="150" t="s">
        <v>76</v>
      </c>
      <c r="K51" s="166">
        <v>13.2</v>
      </c>
      <c r="L51" s="166">
        <f>M51-K51</f>
        <v>0</v>
      </c>
      <c r="M51" s="166">
        <v>13.2</v>
      </c>
    </row>
    <row r="52" spans="1:13" s="392" customFormat="1" ht="18.75" customHeight="1">
      <c r="A52" s="151"/>
      <c r="B52" s="164" t="s">
        <v>87</v>
      </c>
      <c r="C52" s="165" t="s">
        <v>3</v>
      </c>
      <c r="D52" s="150" t="s">
        <v>57</v>
      </c>
      <c r="E52" s="150" t="s">
        <v>88</v>
      </c>
      <c r="F52" s="744"/>
      <c r="G52" s="745"/>
      <c r="H52" s="745"/>
      <c r="I52" s="746"/>
      <c r="J52" s="150"/>
      <c r="K52" s="166">
        <f t="shared" ref="K52:M55" si="4">K53</f>
        <v>8067.8879999999999</v>
      </c>
      <c r="L52" s="166">
        <f t="shared" si="4"/>
        <v>-501</v>
      </c>
      <c r="M52" s="166">
        <f t="shared" si="4"/>
        <v>7566.8879999999999</v>
      </c>
    </row>
    <row r="53" spans="1:13" s="392" customFormat="1" ht="37.5" customHeight="1">
      <c r="A53" s="151"/>
      <c r="B53" s="164" t="s">
        <v>753</v>
      </c>
      <c r="C53" s="165" t="s">
        <v>3</v>
      </c>
      <c r="D53" s="150" t="s">
        <v>57</v>
      </c>
      <c r="E53" s="150" t="s">
        <v>88</v>
      </c>
      <c r="F53" s="744" t="s">
        <v>89</v>
      </c>
      <c r="G53" s="745" t="s">
        <v>62</v>
      </c>
      <c r="H53" s="745" t="s">
        <v>63</v>
      </c>
      <c r="I53" s="746" t="s">
        <v>64</v>
      </c>
      <c r="J53" s="150"/>
      <c r="K53" s="166">
        <f t="shared" si="4"/>
        <v>8067.8879999999999</v>
      </c>
      <c r="L53" s="166">
        <f t="shared" si="4"/>
        <v>-501</v>
      </c>
      <c r="M53" s="166">
        <f t="shared" si="4"/>
        <v>7566.8879999999999</v>
      </c>
    </row>
    <row r="54" spans="1:13" s="392" customFormat="1" ht="18.75">
      <c r="A54" s="151"/>
      <c r="B54" s="167" t="s">
        <v>754</v>
      </c>
      <c r="C54" s="165" t="s">
        <v>3</v>
      </c>
      <c r="D54" s="150" t="s">
        <v>57</v>
      </c>
      <c r="E54" s="150" t="s">
        <v>88</v>
      </c>
      <c r="F54" s="744" t="s">
        <v>89</v>
      </c>
      <c r="G54" s="745" t="s">
        <v>65</v>
      </c>
      <c r="H54" s="745" t="s">
        <v>63</v>
      </c>
      <c r="I54" s="746" t="s">
        <v>64</v>
      </c>
      <c r="J54" s="150"/>
      <c r="K54" s="166">
        <f>K55</f>
        <v>8067.8879999999999</v>
      </c>
      <c r="L54" s="166">
        <f>L55</f>
        <v>-501</v>
      </c>
      <c r="M54" s="166">
        <f>M55</f>
        <v>7566.8879999999999</v>
      </c>
    </row>
    <row r="55" spans="1:13" s="392" customFormat="1" ht="40.15" customHeight="1">
      <c r="A55" s="151"/>
      <c r="B55" s="164" t="s">
        <v>752</v>
      </c>
      <c r="C55" s="165" t="s">
        <v>3</v>
      </c>
      <c r="D55" s="150" t="s">
        <v>57</v>
      </c>
      <c r="E55" s="150" t="s">
        <v>88</v>
      </c>
      <c r="F55" s="744" t="s">
        <v>89</v>
      </c>
      <c r="G55" s="745" t="s">
        <v>65</v>
      </c>
      <c r="H55" s="745" t="s">
        <v>63</v>
      </c>
      <c r="I55" s="746" t="s">
        <v>90</v>
      </c>
      <c r="J55" s="150"/>
      <c r="K55" s="166">
        <f>K56</f>
        <v>8067.8879999999999</v>
      </c>
      <c r="L55" s="166">
        <f t="shared" si="4"/>
        <v>-501</v>
      </c>
      <c r="M55" s="166">
        <f>M56</f>
        <v>7566.8879999999999</v>
      </c>
    </row>
    <row r="56" spans="1:13" s="392" customFormat="1" ht="18.75" customHeight="1">
      <c r="A56" s="151"/>
      <c r="B56" s="164" t="s">
        <v>77</v>
      </c>
      <c r="C56" s="165" t="s">
        <v>3</v>
      </c>
      <c r="D56" s="150" t="s">
        <v>57</v>
      </c>
      <c r="E56" s="150" t="s">
        <v>88</v>
      </c>
      <c r="F56" s="744" t="s">
        <v>89</v>
      </c>
      <c r="G56" s="745" t="s">
        <v>65</v>
      </c>
      <c r="H56" s="745" t="s">
        <v>63</v>
      </c>
      <c r="I56" s="746" t="s">
        <v>90</v>
      </c>
      <c r="J56" s="150" t="s">
        <v>78</v>
      </c>
      <c r="K56" s="166">
        <f>7000-1747.224+4000-1078.888-106</f>
        <v>8067.8879999999999</v>
      </c>
      <c r="L56" s="166">
        <f>M56-K56</f>
        <v>-501</v>
      </c>
      <c r="M56" s="703">
        <f>7000-1747.224+4000-1078.888-106-265-236</f>
        <v>7566.8879999999999</v>
      </c>
    </row>
    <row r="57" spans="1:13" s="392" customFormat="1" ht="18.75" customHeight="1">
      <c r="A57" s="151"/>
      <c r="B57" s="164" t="s">
        <v>91</v>
      </c>
      <c r="C57" s="165" t="s">
        <v>3</v>
      </c>
      <c r="D57" s="150" t="s">
        <v>57</v>
      </c>
      <c r="E57" s="150" t="s">
        <v>92</v>
      </c>
      <c r="F57" s="744"/>
      <c r="G57" s="745"/>
      <c r="H57" s="745"/>
      <c r="I57" s="746"/>
      <c r="J57" s="150"/>
      <c r="K57" s="166">
        <f>K63+K58</f>
        <v>7262.7999999999993</v>
      </c>
      <c r="L57" s="166">
        <f>L63+L58</f>
        <v>790.30000000000018</v>
      </c>
      <c r="M57" s="166">
        <f>M63+M58</f>
        <v>8053.1</v>
      </c>
    </row>
    <row r="58" spans="1:13" s="392" customFormat="1" ht="80.25" customHeight="1">
      <c r="A58" s="151"/>
      <c r="B58" s="164" t="s">
        <v>93</v>
      </c>
      <c r="C58" s="165" t="s">
        <v>3</v>
      </c>
      <c r="D58" s="150" t="s">
        <v>57</v>
      </c>
      <c r="E58" s="150" t="s">
        <v>92</v>
      </c>
      <c r="F58" s="744" t="s">
        <v>94</v>
      </c>
      <c r="G58" s="745" t="s">
        <v>62</v>
      </c>
      <c r="H58" s="745" t="s">
        <v>63</v>
      </c>
      <c r="I58" s="746" t="s">
        <v>64</v>
      </c>
      <c r="J58" s="150"/>
      <c r="K58" s="166">
        <f t="shared" ref="K58:M61" si="5">K59</f>
        <v>1284.0999999999999</v>
      </c>
      <c r="L58" s="166">
        <f t="shared" si="5"/>
        <v>700.3</v>
      </c>
      <c r="M58" s="166">
        <f t="shared" si="5"/>
        <v>1984.3999999999999</v>
      </c>
    </row>
    <row r="59" spans="1:13" s="392" customFormat="1" ht="37.5" customHeight="1">
      <c r="A59" s="151"/>
      <c r="B59" s="164" t="s">
        <v>404</v>
      </c>
      <c r="C59" s="165" t="s">
        <v>3</v>
      </c>
      <c r="D59" s="150" t="s">
        <v>57</v>
      </c>
      <c r="E59" s="150" t="s">
        <v>92</v>
      </c>
      <c r="F59" s="744" t="s">
        <v>94</v>
      </c>
      <c r="G59" s="745" t="s">
        <v>65</v>
      </c>
      <c r="H59" s="745" t="s">
        <v>63</v>
      </c>
      <c r="I59" s="746" t="s">
        <v>64</v>
      </c>
      <c r="J59" s="150"/>
      <c r="K59" s="166">
        <f t="shared" si="5"/>
        <v>1284.0999999999999</v>
      </c>
      <c r="L59" s="166">
        <f t="shared" si="5"/>
        <v>700.3</v>
      </c>
      <c r="M59" s="166">
        <f t="shared" si="5"/>
        <v>1984.3999999999999</v>
      </c>
    </row>
    <row r="60" spans="1:13" s="392" customFormat="1" ht="56.25" customHeight="1">
      <c r="A60" s="151"/>
      <c r="B60" s="167" t="s">
        <v>306</v>
      </c>
      <c r="C60" s="165" t="s">
        <v>3</v>
      </c>
      <c r="D60" s="150" t="s">
        <v>57</v>
      </c>
      <c r="E60" s="150" t="s">
        <v>92</v>
      </c>
      <c r="F60" s="744" t="s">
        <v>94</v>
      </c>
      <c r="G60" s="745" t="s">
        <v>65</v>
      </c>
      <c r="H60" s="745" t="s">
        <v>57</v>
      </c>
      <c r="I60" s="746" t="s">
        <v>64</v>
      </c>
      <c r="J60" s="150"/>
      <c r="K60" s="166">
        <f t="shared" si="5"/>
        <v>1284.0999999999999</v>
      </c>
      <c r="L60" s="166">
        <f t="shared" si="5"/>
        <v>700.3</v>
      </c>
      <c r="M60" s="166">
        <f t="shared" si="5"/>
        <v>1984.3999999999999</v>
      </c>
    </row>
    <row r="61" spans="1:13" s="392" customFormat="1" ht="54" customHeight="1">
      <c r="A61" s="151"/>
      <c r="B61" s="167" t="s">
        <v>95</v>
      </c>
      <c r="C61" s="165" t="s">
        <v>3</v>
      </c>
      <c r="D61" s="150" t="s">
        <v>57</v>
      </c>
      <c r="E61" s="150" t="s">
        <v>92</v>
      </c>
      <c r="F61" s="744" t="s">
        <v>94</v>
      </c>
      <c r="G61" s="745" t="s">
        <v>65</v>
      </c>
      <c r="H61" s="745" t="s">
        <v>57</v>
      </c>
      <c r="I61" s="746" t="s">
        <v>96</v>
      </c>
      <c r="J61" s="150"/>
      <c r="K61" s="166">
        <f>K62</f>
        <v>1284.0999999999999</v>
      </c>
      <c r="L61" s="166">
        <f t="shared" si="5"/>
        <v>700.3</v>
      </c>
      <c r="M61" s="166">
        <f>M62</f>
        <v>1984.3999999999999</v>
      </c>
    </row>
    <row r="62" spans="1:13" s="392" customFormat="1" ht="56.25" customHeight="1">
      <c r="A62" s="151"/>
      <c r="B62" s="168" t="s">
        <v>97</v>
      </c>
      <c r="C62" s="165" t="s">
        <v>3</v>
      </c>
      <c r="D62" s="150" t="s">
        <v>57</v>
      </c>
      <c r="E62" s="150" t="s">
        <v>92</v>
      </c>
      <c r="F62" s="744" t="s">
        <v>94</v>
      </c>
      <c r="G62" s="745" t="s">
        <v>65</v>
      </c>
      <c r="H62" s="745" t="s">
        <v>57</v>
      </c>
      <c r="I62" s="746" t="s">
        <v>96</v>
      </c>
      <c r="J62" s="150" t="s">
        <v>98</v>
      </c>
      <c r="K62" s="166">
        <f>291.9+992.2</f>
        <v>1284.0999999999999</v>
      </c>
      <c r="L62" s="166">
        <f>M62-K62</f>
        <v>700.3</v>
      </c>
      <c r="M62" s="807">
        <f>291.9+992.2+100.3+300+300</f>
        <v>1984.3999999999999</v>
      </c>
    </row>
    <row r="63" spans="1:13" s="392" customFormat="1" ht="60" customHeight="1">
      <c r="A63" s="151"/>
      <c r="B63" s="164" t="s">
        <v>60</v>
      </c>
      <c r="C63" s="165" t="s">
        <v>3</v>
      </c>
      <c r="D63" s="150" t="s">
        <v>57</v>
      </c>
      <c r="E63" s="150" t="s">
        <v>92</v>
      </c>
      <c r="F63" s="744" t="s">
        <v>61</v>
      </c>
      <c r="G63" s="745" t="s">
        <v>62</v>
      </c>
      <c r="H63" s="745" t="s">
        <v>63</v>
      </c>
      <c r="I63" s="746" t="s">
        <v>64</v>
      </c>
      <c r="J63" s="150"/>
      <c r="K63" s="166">
        <f>K64</f>
        <v>5978.6999999999989</v>
      </c>
      <c r="L63" s="166">
        <f>L64</f>
        <v>90.000000000000227</v>
      </c>
      <c r="M63" s="166">
        <f>M64</f>
        <v>6068.7000000000007</v>
      </c>
    </row>
    <row r="64" spans="1:13" s="392" customFormat="1" ht="37.5" customHeight="1">
      <c r="A64" s="151"/>
      <c r="B64" s="164" t="s">
        <v>404</v>
      </c>
      <c r="C64" s="165" t="s">
        <v>3</v>
      </c>
      <c r="D64" s="150" t="s">
        <v>57</v>
      </c>
      <c r="E64" s="150" t="s">
        <v>92</v>
      </c>
      <c r="F64" s="744" t="s">
        <v>61</v>
      </c>
      <c r="G64" s="745" t="s">
        <v>65</v>
      </c>
      <c r="H64" s="745" t="s">
        <v>63</v>
      </c>
      <c r="I64" s="746" t="s">
        <v>64</v>
      </c>
      <c r="J64" s="150"/>
      <c r="K64" s="166">
        <f>K69+K65+K77+K80+K74</f>
        <v>5978.6999999999989</v>
      </c>
      <c r="L64" s="166">
        <f>L69+L65+L77+L80+L74+L83</f>
        <v>90.000000000000227</v>
      </c>
      <c r="M64" s="166">
        <f>M69+M65+M77+M80+M74+M83</f>
        <v>6068.7000000000007</v>
      </c>
    </row>
    <row r="65" spans="1:13" s="392" customFormat="1" ht="18.75" customHeight="1">
      <c r="A65" s="151"/>
      <c r="B65" s="168" t="s">
        <v>83</v>
      </c>
      <c r="C65" s="165" t="s">
        <v>3</v>
      </c>
      <c r="D65" s="150" t="s">
        <v>57</v>
      </c>
      <c r="E65" s="150" t="s">
        <v>92</v>
      </c>
      <c r="F65" s="744" t="s">
        <v>61</v>
      </c>
      <c r="G65" s="745" t="s">
        <v>65</v>
      </c>
      <c r="H65" s="745" t="s">
        <v>84</v>
      </c>
      <c r="I65" s="746" t="s">
        <v>64</v>
      </c>
      <c r="J65" s="150"/>
      <c r="K65" s="166">
        <f t="shared" ref="K65:M65" si="6">K66</f>
        <v>1230.8</v>
      </c>
      <c r="L65" s="166">
        <f t="shared" si="6"/>
        <v>0</v>
      </c>
      <c r="M65" s="166">
        <f t="shared" si="6"/>
        <v>1230.8</v>
      </c>
    </row>
    <row r="66" spans="1:13" s="392" customFormat="1" ht="60" customHeight="1">
      <c r="A66" s="151"/>
      <c r="B66" s="168" t="s">
        <v>478</v>
      </c>
      <c r="C66" s="165" t="s">
        <v>3</v>
      </c>
      <c r="D66" s="150" t="s">
        <v>57</v>
      </c>
      <c r="E66" s="150" t="s">
        <v>92</v>
      </c>
      <c r="F66" s="744" t="s">
        <v>61</v>
      </c>
      <c r="G66" s="745" t="s">
        <v>65</v>
      </c>
      <c r="H66" s="745" t="s">
        <v>84</v>
      </c>
      <c r="I66" s="746" t="s">
        <v>477</v>
      </c>
      <c r="J66" s="150"/>
      <c r="K66" s="166">
        <f>K67+K68</f>
        <v>1230.8</v>
      </c>
      <c r="L66" s="166">
        <f>L67+L68</f>
        <v>0</v>
      </c>
      <c r="M66" s="166">
        <f>M67+M68</f>
        <v>1230.8</v>
      </c>
    </row>
    <row r="67" spans="1:13" s="392" customFormat="1" ht="56.25" customHeight="1">
      <c r="A67" s="151"/>
      <c r="B67" s="164" t="s">
        <v>75</v>
      </c>
      <c r="C67" s="165" t="s">
        <v>3</v>
      </c>
      <c r="D67" s="150" t="s">
        <v>57</v>
      </c>
      <c r="E67" s="150" t="s">
        <v>92</v>
      </c>
      <c r="F67" s="744" t="s">
        <v>61</v>
      </c>
      <c r="G67" s="745" t="s">
        <v>65</v>
      </c>
      <c r="H67" s="745" t="s">
        <v>84</v>
      </c>
      <c r="I67" s="746" t="s">
        <v>477</v>
      </c>
      <c r="J67" s="150" t="s">
        <v>76</v>
      </c>
      <c r="K67" s="166">
        <v>1000</v>
      </c>
      <c r="L67" s="166">
        <f>M67-K67</f>
        <v>0</v>
      </c>
      <c r="M67" s="166">
        <v>1000</v>
      </c>
    </row>
    <row r="68" spans="1:13" s="392" customFormat="1" ht="25.5" customHeight="1">
      <c r="A68" s="151"/>
      <c r="B68" s="164" t="s">
        <v>77</v>
      </c>
      <c r="C68" s="165" t="s">
        <v>3</v>
      </c>
      <c r="D68" s="150" t="s">
        <v>57</v>
      </c>
      <c r="E68" s="150" t="s">
        <v>92</v>
      </c>
      <c r="F68" s="744" t="s">
        <v>61</v>
      </c>
      <c r="G68" s="745" t="s">
        <v>65</v>
      </c>
      <c r="H68" s="745" t="s">
        <v>84</v>
      </c>
      <c r="I68" s="746" t="s">
        <v>477</v>
      </c>
      <c r="J68" s="150" t="s">
        <v>78</v>
      </c>
      <c r="K68" s="166">
        <v>230.8</v>
      </c>
      <c r="L68" s="166">
        <f>M68-K68</f>
        <v>0</v>
      </c>
      <c r="M68" s="166">
        <v>230.8</v>
      </c>
    </row>
    <row r="69" spans="1:13" s="392" customFormat="1" ht="18.75" customHeight="1">
      <c r="A69" s="151"/>
      <c r="B69" s="164" t="s">
        <v>85</v>
      </c>
      <c r="C69" s="165" t="s">
        <v>3</v>
      </c>
      <c r="D69" s="150" t="s">
        <v>57</v>
      </c>
      <c r="E69" s="150" t="s">
        <v>92</v>
      </c>
      <c r="F69" s="744" t="s">
        <v>61</v>
      </c>
      <c r="G69" s="745" t="s">
        <v>65</v>
      </c>
      <c r="H69" s="745" t="s">
        <v>72</v>
      </c>
      <c r="I69" s="746" t="s">
        <v>64</v>
      </c>
      <c r="J69" s="150"/>
      <c r="K69" s="166">
        <f>K70+K72</f>
        <v>3230.4</v>
      </c>
      <c r="L69" s="166">
        <f>L70+L72</f>
        <v>40.000000000000227</v>
      </c>
      <c r="M69" s="166">
        <f>M70+M72</f>
        <v>3270.4000000000005</v>
      </c>
    </row>
    <row r="70" spans="1:13" s="392" customFormat="1" ht="58.5" customHeight="1">
      <c r="A70" s="151"/>
      <c r="B70" s="169" t="s">
        <v>429</v>
      </c>
      <c r="C70" s="165" t="s">
        <v>3</v>
      </c>
      <c r="D70" s="150" t="s">
        <v>57</v>
      </c>
      <c r="E70" s="150" t="s">
        <v>92</v>
      </c>
      <c r="F70" s="744" t="s">
        <v>61</v>
      </c>
      <c r="G70" s="745" t="s">
        <v>65</v>
      </c>
      <c r="H70" s="745" t="s">
        <v>72</v>
      </c>
      <c r="I70" s="746" t="s">
        <v>126</v>
      </c>
      <c r="J70" s="150"/>
      <c r="K70" s="166">
        <f>K71</f>
        <v>1213.3</v>
      </c>
      <c r="L70" s="166">
        <f>L71</f>
        <v>0</v>
      </c>
      <c r="M70" s="166">
        <f>M71</f>
        <v>1213.3</v>
      </c>
    </row>
    <row r="71" spans="1:13" s="392" customFormat="1" ht="56.25" customHeight="1">
      <c r="A71" s="151"/>
      <c r="B71" s="164" t="s">
        <v>75</v>
      </c>
      <c r="C71" s="165" t="s">
        <v>3</v>
      </c>
      <c r="D71" s="150" t="s">
        <v>57</v>
      </c>
      <c r="E71" s="150" t="s">
        <v>92</v>
      </c>
      <c r="F71" s="744" t="s">
        <v>61</v>
      </c>
      <c r="G71" s="745" t="s">
        <v>65</v>
      </c>
      <c r="H71" s="745" t="s">
        <v>72</v>
      </c>
      <c r="I71" s="746" t="s">
        <v>126</v>
      </c>
      <c r="J71" s="150" t="s">
        <v>76</v>
      </c>
      <c r="K71" s="166">
        <v>1213.3</v>
      </c>
      <c r="L71" s="166">
        <f>M71-K71</f>
        <v>0</v>
      </c>
      <c r="M71" s="166">
        <f>1213.3</f>
        <v>1213.3</v>
      </c>
    </row>
    <row r="72" spans="1:13" s="392" customFormat="1" ht="56.25" customHeight="1">
      <c r="A72" s="151"/>
      <c r="B72" s="164" t="s">
        <v>431</v>
      </c>
      <c r="C72" s="165" t="s">
        <v>3</v>
      </c>
      <c r="D72" s="150" t="s">
        <v>57</v>
      </c>
      <c r="E72" s="150" t="s">
        <v>92</v>
      </c>
      <c r="F72" s="744" t="s">
        <v>61</v>
      </c>
      <c r="G72" s="745" t="s">
        <v>65</v>
      </c>
      <c r="H72" s="745" t="s">
        <v>72</v>
      </c>
      <c r="I72" s="746" t="s">
        <v>430</v>
      </c>
      <c r="J72" s="150"/>
      <c r="K72" s="166">
        <f>K73</f>
        <v>2017.1000000000001</v>
      </c>
      <c r="L72" s="166">
        <f>L73</f>
        <v>40.000000000000227</v>
      </c>
      <c r="M72" s="166">
        <f>M73</f>
        <v>2057.1000000000004</v>
      </c>
    </row>
    <row r="73" spans="1:13" s="392" customFormat="1" ht="56.25" customHeight="1">
      <c r="A73" s="151"/>
      <c r="B73" s="164" t="s">
        <v>75</v>
      </c>
      <c r="C73" s="165" t="s">
        <v>3</v>
      </c>
      <c r="D73" s="150" t="s">
        <v>57</v>
      </c>
      <c r="E73" s="150" t="s">
        <v>92</v>
      </c>
      <c r="F73" s="744" t="s">
        <v>61</v>
      </c>
      <c r="G73" s="745" t="s">
        <v>65</v>
      </c>
      <c r="H73" s="745" t="s">
        <v>72</v>
      </c>
      <c r="I73" s="746" t="s">
        <v>430</v>
      </c>
      <c r="J73" s="150" t="s">
        <v>76</v>
      </c>
      <c r="K73" s="166">
        <f>1974.9+42.2</f>
        <v>2017.1000000000001</v>
      </c>
      <c r="L73" s="166">
        <f>M73-K73</f>
        <v>40.000000000000227</v>
      </c>
      <c r="M73" s="764">
        <f>1974.9+42.2+40</f>
        <v>2057.1000000000004</v>
      </c>
    </row>
    <row r="74" spans="1:13" s="392" customFormat="1" ht="42.75" customHeight="1">
      <c r="A74" s="151"/>
      <c r="B74" s="164" t="s">
        <v>905</v>
      </c>
      <c r="C74" s="165" t="s">
        <v>3</v>
      </c>
      <c r="D74" s="150" t="s">
        <v>57</v>
      </c>
      <c r="E74" s="150" t="s">
        <v>92</v>
      </c>
      <c r="F74" s="744" t="s">
        <v>61</v>
      </c>
      <c r="G74" s="745" t="s">
        <v>65</v>
      </c>
      <c r="H74" s="745" t="s">
        <v>92</v>
      </c>
      <c r="I74" s="746" t="s">
        <v>64</v>
      </c>
      <c r="J74" s="150"/>
      <c r="K74" s="166">
        <f t="shared" ref="K74:M75" si="7">K75</f>
        <v>1332.1</v>
      </c>
      <c r="L74" s="166">
        <f t="shared" si="7"/>
        <v>0</v>
      </c>
      <c r="M74" s="166">
        <f t="shared" si="7"/>
        <v>1332.1</v>
      </c>
    </row>
    <row r="75" spans="1:13" s="392" customFormat="1" ht="34.5" customHeight="1">
      <c r="A75" s="151"/>
      <c r="B75" s="164" t="s">
        <v>906</v>
      </c>
      <c r="C75" s="165" t="s">
        <v>3</v>
      </c>
      <c r="D75" s="150" t="s">
        <v>57</v>
      </c>
      <c r="E75" s="150" t="s">
        <v>92</v>
      </c>
      <c r="F75" s="744" t="s">
        <v>61</v>
      </c>
      <c r="G75" s="745" t="s">
        <v>65</v>
      </c>
      <c r="H75" s="745" t="s">
        <v>92</v>
      </c>
      <c r="I75" s="746" t="s">
        <v>907</v>
      </c>
      <c r="J75" s="150"/>
      <c r="K75" s="166">
        <f t="shared" si="7"/>
        <v>1332.1</v>
      </c>
      <c r="L75" s="166">
        <f t="shared" si="7"/>
        <v>0</v>
      </c>
      <c r="M75" s="166">
        <f t="shared" si="7"/>
        <v>1332.1</v>
      </c>
    </row>
    <row r="76" spans="1:13" s="392" customFormat="1" ht="56.25" customHeight="1">
      <c r="A76" s="151"/>
      <c r="B76" s="164" t="s">
        <v>75</v>
      </c>
      <c r="C76" s="165" t="s">
        <v>3</v>
      </c>
      <c r="D76" s="150" t="s">
        <v>57</v>
      </c>
      <c r="E76" s="150" t="s">
        <v>92</v>
      </c>
      <c r="F76" s="744" t="s">
        <v>61</v>
      </c>
      <c r="G76" s="745" t="s">
        <v>65</v>
      </c>
      <c r="H76" s="745" t="s">
        <v>92</v>
      </c>
      <c r="I76" s="746" t="s">
        <v>907</v>
      </c>
      <c r="J76" s="150" t="s">
        <v>76</v>
      </c>
      <c r="K76" s="166">
        <v>1332.1</v>
      </c>
      <c r="L76" s="166">
        <f>M76-K76</f>
        <v>0</v>
      </c>
      <c r="M76" s="166">
        <v>1332.1</v>
      </c>
    </row>
    <row r="77" spans="1:13" s="392" customFormat="1" ht="35.25" customHeight="1">
      <c r="A77" s="151"/>
      <c r="B77" s="164" t="s">
        <v>818</v>
      </c>
      <c r="C77" s="165" t="s">
        <v>3</v>
      </c>
      <c r="D77" s="150" t="s">
        <v>57</v>
      </c>
      <c r="E77" s="150" t="s">
        <v>92</v>
      </c>
      <c r="F77" s="744" t="s">
        <v>61</v>
      </c>
      <c r="G77" s="745" t="s">
        <v>65</v>
      </c>
      <c r="H77" s="745" t="s">
        <v>586</v>
      </c>
      <c r="I77" s="746" t="s">
        <v>64</v>
      </c>
      <c r="J77" s="150"/>
      <c r="K77" s="166">
        <f t="shared" ref="K77:M78" si="8">K78</f>
        <v>148</v>
      </c>
      <c r="L77" s="166">
        <f t="shared" si="8"/>
        <v>0</v>
      </c>
      <c r="M77" s="166">
        <f t="shared" si="8"/>
        <v>148</v>
      </c>
    </row>
    <row r="78" spans="1:13" s="392" customFormat="1" ht="39" customHeight="1">
      <c r="A78" s="151"/>
      <c r="B78" s="169" t="s">
        <v>819</v>
      </c>
      <c r="C78" s="165" t="s">
        <v>3</v>
      </c>
      <c r="D78" s="150" t="s">
        <v>57</v>
      </c>
      <c r="E78" s="150" t="s">
        <v>92</v>
      </c>
      <c r="F78" s="744" t="s">
        <v>61</v>
      </c>
      <c r="G78" s="745" t="s">
        <v>65</v>
      </c>
      <c r="H78" s="745" t="s">
        <v>586</v>
      </c>
      <c r="I78" s="746" t="s">
        <v>111</v>
      </c>
      <c r="J78" s="150"/>
      <c r="K78" s="166">
        <f t="shared" si="8"/>
        <v>148</v>
      </c>
      <c r="L78" s="166">
        <f t="shared" si="8"/>
        <v>0</v>
      </c>
      <c r="M78" s="166">
        <f t="shared" si="8"/>
        <v>148</v>
      </c>
    </row>
    <row r="79" spans="1:13" s="392" customFormat="1" ht="56.25" customHeight="1">
      <c r="A79" s="151"/>
      <c r="B79" s="164" t="s">
        <v>75</v>
      </c>
      <c r="C79" s="165" t="s">
        <v>3</v>
      </c>
      <c r="D79" s="150" t="s">
        <v>57</v>
      </c>
      <c r="E79" s="150" t="s">
        <v>92</v>
      </c>
      <c r="F79" s="744" t="s">
        <v>61</v>
      </c>
      <c r="G79" s="745" t="s">
        <v>65</v>
      </c>
      <c r="H79" s="745" t="s">
        <v>586</v>
      </c>
      <c r="I79" s="746" t="s">
        <v>111</v>
      </c>
      <c r="J79" s="150" t="s">
        <v>76</v>
      </c>
      <c r="K79" s="166">
        <v>148</v>
      </c>
      <c r="L79" s="166">
        <f>M79-K79</f>
        <v>0</v>
      </c>
      <c r="M79" s="166">
        <v>148</v>
      </c>
    </row>
    <row r="80" spans="1:13" s="392" customFormat="1" ht="35.25" customHeight="1">
      <c r="A80" s="151"/>
      <c r="B80" s="164" t="s">
        <v>804</v>
      </c>
      <c r="C80" s="165" t="s">
        <v>3</v>
      </c>
      <c r="D80" s="150" t="s">
        <v>57</v>
      </c>
      <c r="E80" s="150" t="s">
        <v>92</v>
      </c>
      <c r="F80" s="744" t="s">
        <v>61</v>
      </c>
      <c r="G80" s="745" t="s">
        <v>65</v>
      </c>
      <c r="H80" s="745" t="s">
        <v>61</v>
      </c>
      <c r="I80" s="746" t="s">
        <v>64</v>
      </c>
      <c r="J80" s="150"/>
      <c r="K80" s="166">
        <f t="shared" ref="K80:M81" si="9">K81</f>
        <v>37.4</v>
      </c>
      <c r="L80" s="166">
        <f t="shared" si="9"/>
        <v>0</v>
      </c>
      <c r="M80" s="166">
        <f t="shared" si="9"/>
        <v>37.4</v>
      </c>
    </row>
    <row r="81" spans="1:13" s="392" customFormat="1" ht="25.5" customHeight="1">
      <c r="A81" s="151"/>
      <c r="B81" s="169" t="s">
        <v>802</v>
      </c>
      <c r="C81" s="165" t="s">
        <v>3</v>
      </c>
      <c r="D81" s="150" t="s">
        <v>57</v>
      </c>
      <c r="E81" s="150" t="s">
        <v>92</v>
      </c>
      <c r="F81" s="744" t="s">
        <v>61</v>
      </c>
      <c r="G81" s="745" t="s">
        <v>65</v>
      </c>
      <c r="H81" s="745" t="s">
        <v>61</v>
      </c>
      <c r="I81" s="746" t="s">
        <v>803</v>
      </c>
      <c r="J81" s="150"/>
      <c r="K81" s="166">
        <f t="shared" si="9"/>
        <v>37.4</v>
      </c>
      <c r="L81" s="166">
        <f t="shared" si="9"/>
        <v>0</v>
      </c>
      <c r="M81" s="166">
        <f t="shared" si="9"/>
        <v>37.4</v>
      </c>
    </row>
    <row r="82" spans="1:13" s="392" customFormat="1" ht="56.25" customHeight="1">
      <c r="A82" s="151"/>
      <c r="B82" s="164" t="s">
        <v>75</v>
      </c>
      <c r="C82" s="165" t="s">
        <v>3</v>
      </c>
      <c r="D82" s="150" t="s">
        <v>57</v>
      </c>
      <c r="E82" s="150" t="s">
        <v>92</v>
      </c>
      <c r="F82" s="744" t="s">
        <v>61</v>
      </c>
      <c r="G82" s="745" t="s">
        <v>65</v>
      </c>
      <c r="H82" s="745" t="s">
        <v>61</v>
      </c>
      <c r="I82" s="746" t="s">
        <v>803</v>
      </c>
      <c r="J82" s="150" t="s">
        <v>76</v>
      </c>
      <c r="K82" s="166">
        <v>37.4</v>
      </c>
      <c r="L82" s="166">
        <f>M82-K82</f>
        <v>0</v>
      </c>
      <c r="M82" s="166">
        <v>37.4</v>
      </c>
    </row>
    <row r="83" spans="1:13" s="392" customFormat="1" ht="37.5">
      <c r="A83" s="151"/>
      <c r="B83" s="766" t="s">
        <v>464</v>
      </c>
      <c r="C83" s="767" t="s">
        <v>3</v>
      </c>
      <c r="D83" s="768" t="s">
        <v>57</v>
      </c>
      <c r="E83" s="768" t="s">
        <v>92</v>
      </c>
      <c r="F83" s="769" t="s">
        <v>61</v>
      </c>
      <c r="G83" s="770" t="s">
        <v>65</v>
      </c>
      <c r="H83" s="770" t="s">
        <v>1000</v>
      </c>
      <c r="I83" s="771" t="s">
        <v>64</v>
      </c>
      <c r="J83" s="768"/>
      <c r="K83" s="764"/>
      <c r="L83" s="764">
        <f>L84</f>
        <v>50</v>
      </c>
      <c r="M83" s="764">
        <f>M84</f>
        <v>50</v>
      </c>
    </row>
    <row r="84" spans="1:13" s="392" customFormat="1" ht="37.5">
      <c r="A84" s="151"/>
      <c r="B84" s="766" t="s">
        <v>402</v>
      </c>
      <c r="C84" s="767" t="s">
        <v>3</v>
      </c>
      <c r="D84" s="768" t="s">
        <v>57</v>
      </c>
      <c r="E84" s="768" t="s">
        <v>92</v>
      </c>
      <c r="F84" s="769" t="s">
        <v>61</v>
      </c>
      <c r="G84" s="770" t="s">
        <v>65</v>
      </c>
      <c r="H84" s="770" t="s">
        <v>1000</v>
      </c>
      <c r="I84" s="771" t="s">
        <v>401</v>
      </c>
      <c r="J84" s="768"/>
      <c r="K84" s="764"/>
      <c r="L84" s="764">
        <f>L85</f>
        <v>50</v>
      </c>
      <c r="M84" s="764">
        <f>M85</f>
        <v>50</v>
      </c>
    </row>
    <row r="85" spans="1:13" s="392" customFormat="1" ht="18.75">
      <c r="A85" s="151"/>
      <c r="B85" s="766" t="s">
        <v>77</v>
      </c>
      <c r="C85" s="767" t="s">
        <v>3</v>
      </c>
      <c r="D85" s="768" t="s">
        <v>57</v>
      </c>
      <c r="E85" s="768" t="s">
        <v>92</v>
      </c>
      <c r="F85" s="769" t="s">
        <v>61</v>
      </c>
      <c r="G85" s="770" t="s">
        <v>65</v>
      </c>
      <c r="H85" s="770" t="s">
        <v>1000</v>
      </c>
      <c r="I85" s="771" t="s">
        <v>401</v>
      </c>
      <c r="J85" s="768" t="s">
        <v>78</v>
      </c>
      <c r="K85" s="764"/>
      <c r="L85" s="764">
        <f>M85-K85</f>
        <v>50</v>
      </c>
      <c r="M85" s="764">
        <v>50</v>
      </c>
    </row>
    <row r="86" spans="1:13" s="392" customFormat="1" ht="37.5" customHeight="1">
      <c r="A86" s="151"/>
      <c r="B86" s="164" t="s">
        <v>99</v>
      </c>
      <c r="C86" s="165" t="s">
        <v>3</v>
      </c>
      <c r="D86" s="150" t="s">
        <v>84</v>
      </c>
      <c r="E86" s="150"/>
      <c r="F86" s="744"/>
      <c r="G86" s="745"/>
      <c r="H86" s="745"/>
      <c r="I86" s="746"/>
      <c r="J86" s="150"/>
      <c r="K86" s="166">
        <f>K87+K99</f>
        <v>14292.5</v>
      </c>
      <c r="L86" s="166">
        <f>L87+L99</f>
        <v>761.70000000000061</v>
      </c>
      <c r="M86" s="166">
        <f>M87+M99</f>
        <v>15054.2</v>
      </c>
    </row>
    <row r="87" spans="1:13" s="392" customFormat="1" ht="72.75" customHeight="1">
      <c r="A87" s="151"/>
      <c r="B87" s="164" t="s">
        <v>797</v>
      </c>
      <c r="C87" s="165" t="s">
        <v>3</v>
      </c>
      <c r="D87" s="150" t="s">
        <v>84</v>
      </c>
      <c r="E87" s="150" t="s">
        <v>125</v>
      </c>
      <c r="F87" s="744"/>
      <c r="G87" s="745"/>
      <c r="H87" s="745"/>
      <c r="I87" s="746"/>
      <c r="J87" s="150"/>
      <c r="K87" s="166">
        <f>K88</f>
        <v>3589.0000000000005</v>
      </c>
      <c r="L87" s="166">
        <f>L88</f>
        <v>444.30000000000007</v>
      </c>
      <c r="M87" s="166">
        <f>M88</f>
        <v>4033.3</v>
      </c>
    </row>
    <row r="88" spans="1:13" s="392" customFormat="1" ht="60.75" customHeight="1">
      <c r="A88" s="151"/>
      <c r="B88" s="164" t="s">
        <v>101</v>
      </c>
      <c r="C88" s="165" t="s">
        <v>3</v>
      </c>
      <c r="D88" s="150" t="s">
        <v>84</v>
      </c>
      <c r="E88" s="150" t="s">
        <v>125</v>
      </c>
      <c r="F88" s="744" t="s">
        <v>102</v>
      </c>
      <c r="G88" s="745" t="s">
        <v>62</v>
      </c>
      <c r="H88" s="745" t="s">
        <v>63</v>
      </c>
      <c r="I88" s="746" t="s">
        <v>64</v>
      </c>
      <c r="J88" s="150"/>
      <c r="K88" s="166">
        <f t="shared" ref="K88:M88" si="10">K89</f>
        <v>3589.0000000000005</v>
      </c>
      <c r="L88" s="166">
        <f t="shared" si="10"/>
        <v>444.30000000000007</v>
      </c>
      <c r="M88" s="166">
        <f t="shared" si="10"/>
        <v>4033.3</v>
      </c>
    </row>
    <row r="89" spans="1:13" s="392" customFormat="1" ht="58.5" customHeight="1">
      <c r="A89" s="151"/>
      <c r="B89" s="170" t="s">
        <v>103</v>
      </c>
      <c r="C89" s="165" t="s">
        <v>3</v>
      </c>
      <c r="D89" s="150" t="s">
        <v>84</v>
      </c>
      <c r="E89" s="150" t="s">
        <v>125</v>
      </c>
      <c r="F89" s="744" t="s">
        <v>102</v>
      </c>
      <c r="G89" s="745" t="s">
        <v>65</v>
      </c>
      <c r="H89" s="745" t="s">
        <v>63</v>
      </c>
      <c r="I89" s="746" t="s">
        <v>64</v>
      </c>
      <c r="J89" s="150"/>
      <c r="K89" s="166">
        <f>K90</f>
        <v>3589.0000000000005</v>
      </c>
      <c r="L89" s="166">
        <f>L90</f>
        <v>444.30000000000007</v>
      </c>
      <c r="M89" s="166">
        <f>M90</f>
        <v>4033.3</v>
      </c>
    </row>
    <row r="90" spans="1:13" s="392" customFormat="1" ht="78.75" customHeight="1">
      <c r="A90" s="151"/>
      <c r="B90" s="164" t="s">
        <v>104</v>
      </c>
      <c r="C90" s="165" t="s">
        <v>3</v>
      </c>
      <c r="D90" s="150" t="s">
        <v>84</v>
      </c>
      <c r="E90" s="150" t="s">
        <v>125</v>
      </c>
      <c r="F90" s="744" t="s">
        <v>102</v>
      </c>
      <c r="G90" s="745" t="s">
        <v>65</v>
      </c>
      <c r="H90" s="745" t="s">
        <v>57</v>
      </c>
      <c r="I90" s="746" t="s">
        <v>64</v>
      </c>
      <c r="J90" s="150"/>
      <c r="K90" s="166">
        <f t="shared" ref="K90" si="11">K91+K93+K95+K98</f>
        <v>3589.0000000000005</v>
      </c>
      <c r="L90" s="166">
        <f t="shared" ref="L90" si="12">L91+L93+L95+L98</f>
        <v>444.30000000000007</v>
      </c>
      <c r="M90" s="166">
        <f t="shared" ref="M90" si="13">M91+M93+M95+M98</f>
        <v>4033.3</v>
      </c>
    </row>
    <row r="91" spans="1:13" s="392" customFormat="1" ht="37.5">
      <c r="A91" s="151"/>
      <c r="B91" s="170" t="s">
        <v>759</v>
      </c>
      <c r="C91" s="165" t="s">
        <v>3</v>
      </c>
      <c r="D91" s="150" t="s">
        <v>84</v>
      </c>
      <c r="E91" s="150" t="s">
        <v>125</v>
      </c>
      <c r="F91" s="744" t="s">
        <v>102</v>
      </c>
      <c r="G91" s="745" t="s">
        <v>65</v>
      </c>
      <c r="H91" s="745" t="s">
        <v>57</v>
      </c>
      <c r="I91" s="746" t="s">
        <v>105</v>
      </c>
      <c r="J91" s="150"/>
      <c r="K91" s="166">
        <f>K92</f>
        <v>298.39999999999998</v>
      </c>
      <c r="L91" s="166">
        <f>L92</f>
        <v>444.30000000000007</v>
      </c>
      <c r="M91" s="166">
        <f>M92</f>
        <v>742.7</v>
      </c>
    </row>
    <row r="92" spans="1:13" s="392" customFormat="1" ht="56.25" customHeight="1">
      <c r="A92" s="151"/>
      <c r="B92" s="164" t="s">
        <v>75</v>
      </c>
      <c r="C92" s="165" t="s">
        <v>3</v>
      </c>
      <c r="D92" s="150" t="s">
        <v>84</v>
      </c>
      <c r="E92" s="150" t="s">
        <v>125</v>
      </c>
      <c r="F92" s="744" t="s">
        <v>102</v>
      </c>
      <c r="G92" s="745" t="s">
        <v>65</v>
      </c>
      <c r="H92" s="745" t="s">
        <v>57</v>
      </c>
      <c r="I92" s="746" t="s">
        <v>105</v>
      </c>
      <c r="J92" s="150" t="s">
        <v>76</v>
      </c>
      <c r="K92" s="166">
        <v>298.39999999999998</v>
      </c>
      <c r="L92" s="166">
        <f>M92-K92</f>
        <v>444.30000000000007</v>
      </c>
      <c r="M92" s="764">
        <f>298.4+444.3</f>
        <v>742.7</v>
      </c>
    </row>
    <row r="93" spans="1:13" s="392" customFormat="1" ht="56.25" customHeight="1">
      <c r="A93" s="151"/>
      <c r="B93" s="164" t="s">
        <v>106</v>
      </c>
      <c r="C93" s="165" t="s">
        <v>3</v>
      </c>
      <c r="D93" s="150" t="s">
        <v>84</v>
      </c>
      <c r="E93" s="150" t="s">
        <v>125</v>
      </c>
      <c r="F93" s="744" t="s">
        <v>102</v>
      </c>
      <c r="G93" s="745" t="s">
        <v>65</v>
      </c>
      <c r="H93" s="745" t="s">
        <v>57</v>
      </c>
      <c r="I93" s="746" t="s">
        <v>107</v>
      </c>
      <c r="J93" s="150"/>
      <c r="K93" s="166">
        <f>K94</f>
        <v>203</v>
      </c>
      <c r="L93" s="166">
        <f>L94</f>
        <v>0</v>
      </c>
      <c r="M93" s="166">
        <f>M94</f>
        <v>203</v>
      </c>
    </row>
    <row r="94" spans="1:13" s="392" customFormat="1" ht="56.25" customHeight="1">
      <c r="A94" s="151"/>
      <c r="B94" s="164" t="s">
        <v>75</v>
      </c>
      <c r="C94" s="165" t="s">
        <v>3</v>
      </c>
      <c r="D94" s="150" t="s">
        <v>84</v>
      </c>
      <c r="E94" s="150" t="s">
        <v>125</v>
      </c>
      <c r="F94" s="744" t="s">
        <v>102</v>
      </c>
      <c r="G94" s="745" t="s">
        <v>65</v>
      </c>
      <c r="H94" s="745" t="s">
        <v>57</v>
      </c>
      <c r="I94" s="746" t="s">
        <v>107</v>
      </c>
      <c r="J94" s="150" t="s">
        <v>76</v>
      </c>
      <c r="K94" s="166">
        <v>203</v>
      </c>
      <c r="L94" s="166">
        <f>M94-K94</f>
        <v>0</v>
      </c>
      <c r="M94" s="166">
        <v>203</v>
      </c>
    </row>
    <row r="95" spans="1:13" s="392" customFormat="1" ht="94.5" customHeight="1">
      <c r="A95" s="151"/>
      <c r="B95" s="164" t="s">
        <v>405</v>
      </c>
      <c r="C95" s="165" t="s">
        <v>3</v>
      </c>
      <c r="D95" s="150" t="s">
        <v>84</v>
      </c>
      <c r="E95" s="150" t="s">
        <v>125</v>
      </c>
      <c r="F95" s="744" t="s">
        <v>102</v>
      </c>
      <c r="G95" s="745" t="s">
        <v>65</v>
      </c>
      <c r="H95" s="745" t="s">
        <v>57</v>
      </c>
      <c r="I95" s="746" t="s">
        <v>393</v>
      </c>
      <c r="J95" s="150"/>
      <c r="K95" s="166">
        <f>K96</f>
        <v>3075.3</v>
      </c>
      <c r="L95" s="166">
        <f>L96</f>
        <v>0</v>
      </c>
      <c r="M95" s="166">
        <f>M96</f>
        <v>3075.3</v>
      </c>
    </row>
    <row r="96" spans="1:13" s="392" customFormat="1" ht="18.75" customHeight="1">
      <c r="A96" s="151"/>
      <c r="B96" s="164" t="s">
        <v>144</v>
      </c>
      <c r="C96" s="165" t="s">
        <v>3</v>
      </c>
      <c r="D96" s="150" t="s">
        <v>84</v>
      </c>
      <c r="E96" s="150" t="s">
        <v>125</v>
      </c>
      <c r="F96" s="744" t="s">
        <v>102</v>
      </c>
      <c r="G96" s="745" t="s">
        <v>65</v>
      </c>
      <c r="H96" s="745" t="s">
        <v>57</v>
      </c>
      <c r="I96" s="746" t="s">
        <v>393</v>
      </c>
      <c r="J96" s="150" t="s">
        <v>145</v>
      </c>
      <c r="K96" s="166">
        <v>3075.3</v>
      </c>
      <c r="L96" s="166">
        <f>M96-K96</f>
        <v>0</v>
      </c>
      <c r="M96" s="166">
        <v>3075.3</v>
      </c>
    </row>
    <row r="97" spans="1:13" s="392" customFormat="1" ht="131.25" customHeight="1">
      <c r="A97" s="151"/>
      <c r="B97" s="164" t="s">
        <v>407</v>
      </c>
      <c r="C97" s="165" t="s">
        <v>3</v>
      </c>
      <c r="D97" s="150" t="s">
        <v>84</v>
      </c>
      <c r="E97" s="150" t="s">
        <v>125</v>
      </c>
      <c r="F97" s="744" t="s">
        <v>102</v>
      </c>
      <c r="G97" s="745" t="s">
        <v>65</v>
      </c>
      <c r="H97" s="745" t="s">
        <v>57</v>
      </c>
      <c r="I97" s="746" t="s">
        <v>394</v>
      </c>
      <c r="J97" s="150"/>
      <c r="K97" s="166">
        <f>K98</f>
        <v>12.3</v>
      </c>
      <c r="L97" s="166">
        <f>L98</f>
        <v>0</v>
      </c>
      <c r="M97" s="166">
        <f>M98</f>
        <v>12.3</v>
      </c>
    </row>
    <row r="98" spans="1:13" s="392" customFormat="1" ht="18.75" customHeight="1">
      <c r="A98" s="151"/>
      <c r="B98" s="164" t="s">
        <v>144</v>
      </c>
      <c r="C98" s="165" t="s">
        <v>3</v>
      </c>
      <c r="D98" s="150" t="s">
        <v>84</v>
      </c>
      <c r="E98" s="150" t="s">
        <v>125</v>
      </c>
      <c r="F98" s="744" t="s">
        <v>102</v>
      </c>
      <c r="G98" s="745" t="s">
        <v>65</v>
      </c>
      <c r="H98" s="745" t="s">
        <v>57</v>
      </c>
      <c r="I98" s="746" t="s">
        <v>394</v>
      </c>
      <c r="J98" s="150" t="s">
        <v>145</v>
      </c>
      <c r="K98" s="166">
        <v>12.3</v>
      </c>
      <c r="L98" s="166">
        <f>M98-K98</f>
        <v>0</v>
      </c>
      <c r="M98" s="166">
        <v>12.3</v>
      </c>
    </row>
    <row r="99" spans="1:13" s="392" customFormat="1" ht="56.25" customHeight="1">
      <c r="A99" s="151"/>
      <c r="B99" s="169" t="s">
        <v>108</v>
      </c>
      <c r="C99" s="165" t="s">
        <v>3</v>
      </c>
      <c r="D99" s="150" t="s">
        <v>84</v>
      </c>
      <c r="E99" s="150" t="s">
        <v>109</v>
      </c>
      <c r="F99" s="744"/>
      <c r="G99" s="745"/>
      <c r="H99" s="745"/>
      <c r="I99" s="746"/>
      <c r="J99" s="150"/>
      <c r="K99" s="166">
        <f>K100</f>
        <v>10703.5</v>
      </c>
      <c r="L99" s="166">
        <f>L100</f>
        <v>317.40000000000055</v>
      </c>
      <c r="M99" s="166">
        <f>M100</f>
        <v>11020.9</v>
      </c>
    </row>
    <row r="100" spans="1:13" s="392" customFormat="1" ht="60.75" customHeight="1">
      <c r="A100" s="151"/>
      <c r="B100" s="164" t="s">
        <v>101</v>
      </c>
      <c r="C100" s="165" t="s">
        <v>3</v>
      </c>
      <c r="D100" s="150" t="s">
        <v>84</v>
      </c>
      <c r="E100" s="150" t="s">
        <v>109</v>
      </c>
      <c r="F100" s="744" t="s">
        <v>102</v>
      </c>
      <c r="G100" s="745" t="s">
        <v>62</v>
      </c>
      <c r="H100" s="745" t="s">
        <v>63</v>
      </c>
      <c r="I100" s="746" t="s">
        <v>64</v>
      </c>
      <c r="J100" s="150"/>
      <c r="K100" s="166">
        <f>K101+K110+K119</f>
        <v>10703.5</v>
      </c>
      <c r="L100" s="166">
        <f>L101+L110+L119</f>
        <v>317.40000000000055</v>
      </c>
      <c r="M100" s="166">
        <f>M101+M110+M119</f>
        <v>11020.9</v>
      </c>
    </row>
    <row r="101" spans="1:13" s="392" customFormat="1" ht="37.5" customHeight="1">
      <c r="A101" s="151"/>
      <c r="B101" s="169" t="s">
        <v>146</v>
      </c>
      <c r="C101" s="165" t="s">
        <v>3</v>
      </c>
      <c r="D101" s="150" t="s">
        <v>84</v>
      </c>
      <c r="E101" s="150" t="s">
        <v>109</v>
      </c>
      <c r="F101" s="744" t="s">
        <v>102</v>
      </c>
      <c r="G101" s="745" t="s">
        <v>110</v>
      </c>
      <c r="H101" s="745" t="s">
        <v>63</v>
      </c>
      <c r="I101" s="746" t="s">
        <v>64</v>
      </c>
      <c r="J101" s="150"/>
      <c r="K101" s="166">
        <f>K107+K102</f>
        <v>384.4</v>
      </c>
      <c r="L101" s="166">
        <f>L107+L102</f>
        <v>0</v>
      </c>
      <c r="M101" s="166">
        <f>M107+M102</f>
        <v>384.4</v>
      </c>
    </row>
    <row r="102" spans="1:13" s="392" customFormat="1" ht="44.25" customHeight="1">
      <c r="A102" s="151"/>
      <c r="B102" s="169" t="s">
        <v>311</v>
      </c>
      <c r="C102" s="165" t="s">
        <v>3</v>
      </c>
      <c r="D102" s="150" t="s">
        <v>84</v>
      </c>
      <c r="E102" s="150" t="s">
        <v>109</v>
      </c>
      <c r="F102" s="744" t="s">
        <v>102</v>
      </c>
      <c r="G102" s="745" t="s">
        <v>110</v>
      </c>
      <c r="H102" s="745" t="s">
        <v>57</v>
      </c>
      <c r="I102" s="746" t="s">
        <v>64</v>
      </c>
      <c r="J102" s="150"/>
      <c r="K102" s="166">
        <f>K105+K103</f>
        <v>143.69999999999999</v>
      </c>
      <c r="L102" s="166">
        <f>L105+L103</f>
        <v>0</v>
      </c>
      <c r="M102" s="166">
        <f>M105+M103</f>
        <v>143.69999999999999</v>
      </c>
    </row>
    <row r="103" spans="1:13" s="392" customFormat="1" ht="37.5" customHeight="1">
      <c r="A103" s="151"/>
      <c r="B103" s="167" t="s">
        <v>148</v>
      </c>
      <c r="C103" s="165" t="s">
        <v>3</v>
      </c>
      <c r="D103" s="150" t="s">
        <v>84</v>
      </c>
      <c r="E103" s="150" t="s">
        <v>109</v>
      </c>
      <c r="F103" s="744" t="s">
        <v>102</v>
      </c>
      <c r="G103" s="745" t="s">
        <v>110</v>
      </c>
      <c r="H103" s="745" t="s">
        <v>57</v>
      </c>
      <c r="I103" s="746" t="s">
        <v>111</v>
      </c>
      <c r="J103" s="150"/>
      <c r="K103" s="166">
        <f>K104</f>
        <v>21.6</v>
      </c>
      <c r="L103" s="166">
        <f>L104</f>
        <v>0</v>
      </c>
      <c r="M103" s="166">
        <f>M104</f>
        <v>21.6</v>
      </c>
    </row>
    <row r="104" spans="1:13" s="392" customFormat="1" ht="56.25" customHeight="1">
      <c r="A104" s="151"/>
      <c r="B104" s="164" t="s">
        <v>75</v>
      </c>
      <c r="C104" s="165" t="s">
        <v>3</v>
      </c>
      <c r="D104" s="150" t="s">
        <v>84</v>
      </c>
      <c r="E104" s="150" t="s">
        <v>109</v>
      </c>
      <c r="F104" s="744" t="s">
        <v>102</v>
      </c>
      <c r="G104" s="745" t="s">
        <v>110</v>
      </c>
      <c r="H104" s="745" t="s">
        <v>57</v>
      </c>
      <c r="I104" s="746" t="s">
        <v>111</v>
      </c>
      <c r="J104" s="150" t="s">
        <v>76</v>
      </c>
      <c r="K104" s="166">
        <v>21.6</v>
      </c>
      <c r="L104" s="166">
        <f>M104-K104</f>
        <v>0</v>
      </c>
      <c r="M104" s="166">
        <v>21.6</v>
      </c>
    </row>
    <row r="105" spans="1:13" s="392" customFormat="1" ht="112.5" customHeight="1">
      <c r="A105" s="151"/>
      <c r="B105" s="169" t="s">
        <v>406</v>
      </c>
      <c r="C105" s="165" t="s">
        <v>3</v>
      </c>
      <c r="D105" s="150" t="s">
        <v>84</v>
      </c>
      <c r="E105" s="150" t="s">
        <v>109</v>
      </c>
      <c r="F105" s="744" t="s">
        <v>102</v>
      </c>
      <c r="G105" s="745" t="s">
        <v>110</v>
      </c>
      <c r="H105" s="745" t="s">
        <v>57</v>
      </c>
      <c r="I105" s="746" t="s">
        <v>395</v>
      </c>
      <c r="J105" s="150"/>
      <c r="K105" s="166">
        <f>K106</f>
        <v>122.1</v>
      </c>
      <c r="L105" s="166">
        <f>L106</f>
        <v>0</v>
      </c>
      <c r="M105" s="166">
        <f>M106</f>
        <v>122.1</v>
      </c>
    </row>
    <row r="106" spans="1:13" s="392" customFormat="1" ht="18.75" customHeight="1">
      <c r="A106" s="151"/>
      <c r="B106" s="169" t="s">
        <v>144</v>
      </c>
      <c r="C106" s="165" t="s">
        <v>3</v>
      </c>
      <c r="D106" s="150" t="s">
        <v>84</v>
      </c>
      <c r="E106" s="150" t="s">
        <v>109</v>
      </c>
      <c r="F106" s="744" t="s">
        <v>102</v>
      </c>
      <c r="G106" s="745" t="s">
        <v>110</v>
      </c>
      <c r="H106" s="745" t="s">
        <v>57</v>
      </c>
      <c r="I106" s="746" t="s">
        <v>395</v>
      </c>
      <c r="J106" s="150" t="s">
        <v>145</v>
      </c>
      <c r="K106" s="166">
        <v>122.1</v>
      </c>
      <c r="L106" s="166">
        <f>M106-K106</f>
        <v>0</v>
      </c>
      <c r="M106" s="166">
        <v>122.1</v>
      </c>
    </row>
    <row r="107" spans="1:13" s="392" customFormat="1" ht="56.25" customHeight="1">
      <c r="A107" s="151"/>
      <c r="B107" s="167" t="s">
        <v>147</v>
      </c>
      <c r="C107" s="165" t="s">
        <v>3</v>
      </c>
      <c r="D107" s="150" t="s">
        <v>84</v>
      </c>
      <c r="E107" s="150" t="s">
        <v>109</v>
      </c>
      <c r="F107" s="744" t="s">
        <v>102</v>
      </c>
      <c r="G107" s="745" t="s">
        <v>110</v>
      </c>
      <c r="H107" s="745" t="s">
        <v>59</v>
      </c>
      <c r="I107" s="746" t="s">
        <v>64</v>
      </c>
      <c r="J107" s="150"/>
      <c r="K107" s="166">
        <f t="shared" ref="K107:M108" si="14">K108</f>
        <v>240.7</v>
      </c>
      <c r="L107" s="166">
        <f t="shared" si="14"/>
        <v>0</v>
      </c>
      <c r="M107" s="166">
        <f t="shared" si="14"/>
        <v>240.7</v>
      </c>
    </row>
    <row r="108" spans="1:13" s="392" customFormat="1" ht="37.5" customHeight="1">
      <c r="A108" s="151"/>
      <c r="B108" s="167" t="s">
        <v>148</v>
      </c>
      <c r="C108" s="165" t="s">
        <v>3</v>
      </c>
      <c r="D108" s="150" t="s">
        <v>84</v>
      </c>
      <c r="E108" s="150" t="s">
        <v>109</v>
      </c>
      <c r="F108" s="744" t="s">
        <v>102</v>
      </c>
      <c r="G108" s="745" t="s">
        <v>110</v>
      </c>
      <c r="H108" s="745" t="s">
        <v>59</v>
      </c>
      <c r="I108" s="746" t="s">
        <v>111</v>
      </c>
      <c r="J108" s="150"/>
      <c r="K108" s="166">
        <f t="shared" si="14"/>
        <v>240.7</v>
      </c>
      <c r="L108" s="166">
        <f t="shared" si="14"/>
        <v>0</v>
      </c>
      <c r="M108" s="166">
        <f t="shared" si="14"/>
        <v>240.7</v>
      </c>
    </row>
    <row r="109" spans="1:13" s="392" customFormat="1" ht="56.25" customHeight="1">
      <c r="A109" s="151"/>
      <c r="B109" s="164" t="s">
        <v>75</v>
      </c>
      <c r="C109" s="165" t="s">
        <v>3</v>
      </c>
      <c r="D109" s="150" t="s">
        <v>84</v>
      </c>
      <c r="E109" s="150" t="s">
        <v>109</v>
      </c>
      <c r="F109" s="744" t="s">
        <v>102</v>
      </c>
      <c r="G109" s="745" t="s">
        <v>110</v>
      </c>
      <c r="H109" s="745" t="s">
        <v>59</v>
      </c>
      <c r="I109" s="746" t="s">
        <v>111</v>
      </c>
      <c r="J109" s="150" t="s">
        <v>76</v>
      </c>
      <c r="K109" s="166">
        <v>240.7</v>
      </c>
      <c r="L109" s="166">
        <f>M109-K109</f>
        <v>0</v>
      </c>
      <c r="M109" s="166">
        <v>240.7</v>
      </c>
    </row>
    <row r="110" spans="1:13" s="392" customFormat="1" ht="75" customHeight="1">
      <c r="A110" s="151"/>
      <c r="B110" s="169" t="s">
        <v>453</v>
      </c>
      <c r="C110" s="165" t="s">
        <v>3</v>
      </c>
      <c r="D110" s="150" t="s">
        <v>84</v>
      </c>
      <c r="E110" s="150" t="s">
        <v>109</v>
      </c>
      <c r="F110" s="744" t="s">
        <v>102</v>
      </c>
      <c r="G110" s="745" t="s">
        <v>50</v>
      </c>
      <c r="H110" s="745" t="s">
        <v>63</v>
      </c>
      <c r="I110" s="746" t="s">
        <v>64</v>
      </c>
      <c r="J110" s="150"/>
      <c r="K110" s="166">
        <f>K111+K116</f>
        <v>10297.5</v>
      </c>
      <c r="L110" s="166">
        <f>L111+L116</f>
        <v>317.40000000000055</v>
      </c>
      <c r="M110" s="166">
        <f>M111+M116</f>
        <v>10614.9</v>
      </c>
    </row>
    <row r="111" spans="1:13" s="392" customFormat="1" ht="79.5" customHeight="1">
      <c r="A111" s="151"/>
      <c r="B111" s="167" t="s">
        <v>386</v>
      </c>
      <c r="C111" s="165" t="s">
        <v>3</v>
      </c>
      <c r="D111" s="150" t="s">
        <v>84</v>
      </c>
      <c r="E111" s="150" t="s">
        <v>109</v>
      </c>
      <c r="F111" s="744" t="s">
        <v>102</v>
      </c>
      <c r="G111" s="745" t="s">
        <v>50</v>
      </c>
      <c r="H111" s="745" t="s">
        <v>57</v>
      </c>
      <c r="I111" s="746" t="s">
        <v>64</v>
      </c>
      <c r="J111" s="150"/>
      <c r="K111" s="166">
        <f>K112</f>
        <v>9842.4</v>
      </c>
      <c r="L111" s="166">
        <f>L112</f>
        <v>317.40000000000055</v>
      </c>
      <c r="M111" s="166">
        <f>M112</f>
        <v>10159.799999999999</v>
      </c>
    </row>
    <row r="112" spans="1:13" s="392" customFormat="1" ht="45.75" customHeight="1">
      <c r="A112" s="151"/>
      <c r="B112" s="167" t="s">
        <v>800</v>
      </c>
      <c r="C112" s="165" t="s">
        <v>3</v>
      </c>
      <c r="D112" s="150" t="s">
        <v>84</v>
      </c>
      <c r="E112" s="150" t="s">
        <v>109</v>
      </c>
      <c r="F112" s="744" t="s">
        <v>102</v>
      </c>
      <c r="G112" s="745" t="s">
        <v>50</v>
      </c>
      <c r="H112" s="745" t="s">
        <v>57</v>
      </c>
      <c r="I112" s="746" t="s">
        <v>112</v>
      </c>
      <c r="J112" s="150"/>
      <c r="K112" s="166">
        <f>K113+K114+K115</f>
        <v>9842.4</v>
      </c>
      <c r="L112" s="166">
        <f>L113+L114+L115</f>
        <v>317.40000000000055</v>
      </c>
      <c r="M112" s="166">
        <f>M113+M114+M115</f>
        <v>10159.799999999999</v>
      </c>
    </row>
    <row r="113" spans="1:13" s="392" customFormat="1" ht="112.5" customHeight="1">
      <c r="A113" s="151"/>
      <c r="B113" s="164" t="s">
        <v>69</v>
      </c>
      <c r="C113" s="165" t="s">
        <v>3</v>
      </c>
      <c r="D113" s="150" t="s">
        <v>84</v>
      </c>
      <c r="E113" s="150" t="s">
        <v>109</v>
      </c>
      <c r="F113" s="744" t="s">
        <v>102</v>
      </c>
      <c r="G113" s="745" t="s">
        <v>50</v>
      </c>
      <c r="H113" s="745" t="s">
        <v>57</v>
      </c>
      <c r="I113" s="746" t="s">
        <v>112</v>
      </c>
      <c r="J113" s="150" t="s">
        <v>70</v>
      </c>
      <c r="K113" s="166">
        <v>7266</v>
      </c>
      <c r="L113" s="166">
        <f>M113-K113</f>
        <v>274.60000000000036</v>
      </c>
      <c r="M113" s="764">
        <f>7266+274.6</f>
        <v>7540.6</v>
      </c>
    </row>
    <row r="114" spans="1:13" s="392" customFormat="1" ht="56.25" customHeight="1">
      <c r="A114" s="151"/>
      <c r="B114" s="164" t="s">
        <v>75</v>
      </c>
      <c r="C114" s="165" t="s">
        <v>3</v>
      </c>
      <c r="D114" s="150" t="s">
        <v>84</v>
      </c>
      <c r="E114" s="150" t="s">
        <v>109</v>
      </c>
      <c r="F114" s="744" t="s">
        <v>102</v>
      </c>
      <c r="G114" s="745" t="s">
        <v>50</v>
      </c>
      <c r="H114" s="745" t="s">
        <v>57</v>
      </c>
      <c r="I114" s="746" t="s">
        <v>112</v>
      </c>
      <c r="J114" s="150" t="s">
        <v>76</v>
      </c>
      <c r="K114" s="166">
        <f>2242.3+127.9+199.9</f>
        <v>2570.1000000000004</v>
      </c>
      <c r="L114" s="166">
        <f>M114-K114</f>
        <v>42.800000000000182</v>
      </c>
      <c r="M114" s="764">
        <f>2242.3+127.9+199.9+42.8</f>
        <v>2612.9000000000005</v>
      </c>
    </row>
    <row r="115" spans="1:13" s="392" customFormat="1" ht="18.75" customHeight="1">
      <c r="A115" s="151"/>
      <c r="B115" s="164" t="s">
        <v>77</v>
      </c>
      <c r="C115" s="165" t="s">
        <v>3</v>
      </c>
      <c r="D115" s="150" t="s">
        <v>84</v>
      </c>
      <c r="E115" s="150" t="s">
        <v>109</v>
      </c>
      <c r="F115" s="744" t="s">
        <v>102</v>
      </c>
      <c r="G115" s="745" t="s">
        <v>50</v>
      </c>
      <c r="H115" s="745" t="s">
        <v>57</v>
      </c>
      <c r="I115" s="746" t="s">
        <v>112</v>
      </c>
      <c r="J115" s="150" t="s">
        <v>78</v>
      </c>
      <c r="K115" s="166">
        <v>6.3</v>
      </c>
      <c r="L115" s="166">
        <f>M115-K115</f>
        <v>0</v>
      </c>
      <c r="M115" s="166">
        <v>6.3</v>
      </c>
    </row>
    <row r="116" spans="1:13" s="392" customFormat="1" ht="40.5" customHeight="1">
      <c r="A116" s="151"/>
      <c r="B116" s="169" t="s">
        <v>820</v>
      </c>
      <c r="C116" s="165" t="s">
        <v>3</v>
      </c>
      <c r="D116" s="150" t="s">
        <v>84</v>
      </c>
      <c r="E116" s="150" t="s">
        <v>109</v>
      </c>
      <c r="F116" s="744" t="s">
        <v>102</v>
      </c>
      <c r="G116" s="745" t="s">
        <v>50</v>
      </c>
      <c r="H116" s="745" t="s">
        <v>59</v>
      </c>
      <c r="I116" s="746" t="s">
        <v>64</v>
      </c>
      <c r="J116" s="150"/>
      <c r="K116" s="166">
        <f t="shared" ref="K116:M117" si="15">K117</f>
        <v>455.1</v>
      </c>
      <c r="L116" s="166">
        <f t="shared" si="15"/>
        <v>0</v>
      </c>
      <c r="M116" s="166">
        <f t="shared" si="15"/>
        <v>455.1</v>
      </c>
    </row>
    <row r="117" spans="1:13" s="392" customFormat="1" ht="56.25" customHeight="1">
      <c r="A117" s="151"/>
      <c r="B117" s="358" t="s">
        <v>106</v>
      </c>
      <c r="C117" s="165" t="s">
        <v>3</v>
      </c>
      <c r="D117" s="150" t="s">
        <v>84</v>
      </c>
      <c r="E117" s="150" t="s">
        <v>109</v>
      </c>
      <c r="F117" s="744" t="s">
        <v>102</v>
      </c>
      <c r="G117" s="745" t="s">
        <v>50</v>
      </c>
      <c r="H117" s="745" t="s">
        <v>59</v>
      </c>
      <c r="I117" s="746" t="s">
        <v>107</v>
      </c>
      <c r="J117" s="150"/>
      <c r="K117" s="166">
        <f t="shared" si="15"/>
        <v>455.1</v>
      </c>
      <c r="L117" s="166">
        <f t="shared" si="15"/>
        <v>0</v>
      </c>
      <c r="M117" s="166">
        <f t="shared" si="15"/>
        <v>455.1</v>
      </c>
    </row>
    <row r="118" spans="1:13" s="392" customFormat="1" ht="53.25" customHeight="1">
      <c r="A118" s="151"/>
      <c r="B118" s="664" t="s">
        <v>75</v>
      </c>
      <c r="C118" s="165" t="s">
        <v>3</v>
      </c>
      <c r="D118" s="150" t="s">
        <v>84</v>
      </c>
      <c r="E118" s="150" t="s">
        <v>109</v>
      </c>
      <c r="F118" s="744" t="s">
        <v>102</v>
      </c>
      <c r="G118" s="745" t="s">
        <v>50</v>
      </c>
      <c r="H118" s="745" t="s">
        <v>59</v>
      </c>
      <c r="I118" s="746" t="s">
        <v>107</v>
      </c>
      <c r="J118" s="150" t="s">
        <v>76</v>
      </c>
      <c r="K118" s="166">
        <v>455.1</v>
      </c>
      <c r="L118" s="166">
        <f>M118-K118</f>
        <v>0</v>
      </c>
      <c r="M118" s="166">
        <v>455.1</v>
      </c>
    </row>
    <row r="119" spans="1:13" s="392" customFormat="1" ht="53.25" customHeight="1">
      <c r="A119" s="151"/>
      <c r="B119" s="665" t="s">
        <v>908</v>
      </c>
      <c r="C119" s="165" t="s">
        <v>3</v>
      </c>
      <c r="D119" s="150" t="s">
        <v>84</v>
      </c>
      <c r="E119" s="150" t="s">
        <v>109</v>
      </c>
      <c r="F119" s="744" t="s">
        <v>102</v>
      </c>
      <c r="G119" s="745" t="s">
        <v>51</v>
      </c>
      <c r="H119" s="745" t="s">
        <v>63</v>
      </c>
      <c r="I119" s="746" t="s">
        <v>64</v>
      </c>
      <c r="J119" s="150"/>
      <c r="K119" s="166">
        <f t="shared" ref="K119:M121" si="16">K120</f>
        <v>21.6</v>
      </c>
      <c r="L119" s="166">
        <f t="shared" si="16"/>
        <v>0</v>
      </c>
      <c r="M119" s="166">
        <f t="shared" si="16"/>
        <v>21.6</v>
      </c>
    </row>
    <row r="120" spans="1:13" s="392" customFormat="1" ht="72" customHeight="1">
      <c r="A120" s="151"/>
      <c r="B120" s="666" t="s">
        <v>909</v>
      </c>
      <c r="C120" s="165" t="s">
        <v>3</v>
      </c>
      <c r="D120" s="150" t="s">
        <v>84</v>
      </c>
      <c r="E120" s="150" t="s">
        <v>109</v>
      </c>
      <c r="F120" s="744" t="s">
        <v>102</v>
      </c>
      <c r="G120" s="745" t="s">
        <v>51</v>
      </c>
      <c r="H120" s="745" t="s">
        <v>57</v>
      </c>
      <c r="I120" s="746" t="s">
        <v>64</v>
      </c>
      <c r="J120" s="150"/>
      <c r="K120" s="166">
        <f t="shared" si="16"/>
        <v>21.6</v>
      </c>
      <c r="L120" s="166">
        <f t="shared" si="16"/>
        <v>0</v>
      </c>
      <c r="M120" s="166">
        <f t="shared" si="16"/>
        <v>21.6</v>
      </c>
    </row>
    <row r="121" spans="1:13" s="392" customFormat="1" ht="53.25" customHeight="1">
      <c r="A121" s="151"/>
      <c r="B121" s="662" t="s">
        <v>106</v>
      </c>
      <c r="C121" s="165" t="s">
        <v>3</v>
      </c>
      <c r="D121" s="150" t="s">
        <v>84</v>
      </c>
      <c r="E121" s="150" t="s">
        <v>109</v>
      </c>
      <c r="F121" s="744" t="s">
        <v>102</v>
      </c>
      <c r="G121" s="745" t="s">
        <v>51</v>
      </c>
      <c r="H121" s="745" t="s">
        <v>57</v>
      </c>
      <c r="I121" s="746" t="s">
        <v>107</v>
      </c>
      <c r="J121" s="150"/>
      <c r="K121" s="166">
        <f t="shared" si="16"/>
        <v>21.6</v>
      </c>
      <c r="L121" s="166">
        <f t="shared" si="16"/>
        <v>0</v>
      </c>
      <c r="M121" s="166">
        <f t="shared" si="16"/>
        <v>21.6</v>
      </c>
    </row>
    <row r="122" spans="1:13" s="392" customFormat="1" ht="53.25" customHeight="1">
      <c r="A122" s="151"/>
      <c r="B122" s="664" t="s">
        <v>75</v>
      </c>
      <c r="C122" s="165" t="s">
        <v>3</v>
      </c>
      <c r="D122" s="150" t="s">
        <v>84</v>
      </c>
      <c r="E122" s="150" t="s">
        <v>109</v>
      </c>
      <c r="F122" s="744" t="s">
        <v>102</v>
      </c>
      <c r="G122" s="745" t="s">
        <v>51</v>
      </c>
      <c r="H122" s="745" t="s">
        <v>57</v>
      </c>
      <c r="I122" s="746" t="s">
        <v>107</v>
      </c>
      <c r="J122" s="150" t="s">
        <v>76</v>
      </c>
      <c r="K122" s="166">
        <v>21.6</v>
      </c>
      <c r="L122" s="166">
        <f>M122-K122</f>
        <v>0</v>
      </c>
      <c r="M122" s="166">
        <v>21.6</v>
      </c>
    </row>
    <row r="123" spans="1:13" s="392" customFormat="1" ht="18.75" customHeight="1">
      <c r="A123" s="151"/>
      <c r="B123" s="164" t="s">
        <v>113</v>
      </c>
      <c r="C123" s="165" t="s">
        <v>3</v>
      </c>
      <c r="D123" s="150" t="s">
        <v>72</v>
      </c>
      <c r="E123" s="150"/>
      <c r="F123" s="744"/>
      <c r="G123" s="745"/>
      <c r="H123" s="745"/>
      <c r="I123" s="746"/>
      <c r="J123" s="150"/>
      <c r="K123" s="166">
        <f>K124+K133+K139</f>
        <v>29561.582999999999</v>
      </c>
      <c r="L123" s="166">
        <f>L124+L133+L139</f>
        <v>0</v>
      </c>
      <c r="M123" s="166">
        <f>M124+M133+M139</f>
        <v>29561.582999999999</v>
      </c>
    </row>
    <row r="124" spans="1:13" s="147" customFormat="1" ht="18.75" customHeight="1">
      <c r="A124" s="151"/>
      <c r="B124" s="164" t="s">
        <v>114</v>
      </c>
      <c r="C124" s="165" t="s">
        <v>3</v>
      </c>
      <c r="D124" s="150" t="s">
        <v>72</v>
      </c>
      <c r="E124" s="150" t="s">
        <v>86</v>
      </c>
      <c r="F124" s="744"/>
      <c r="G124" s="745"/>
      <c r="H124" s="745"/>
      <c r="I124" s="746"/>
      <c r="J124" s="150"/>
      <c r="K124" s="166">
        <f t="shared" ref="K124:M125" si="17">K125</f>
        <v>11258.5</v>
      </c>
      <c r="L124" s="166">
        <f t="shared" si="17"/>
        <v>0</v>
      </c>
      <c r="M124" s="166">
        <f t="shared" si="17"/>
        <v>11258.5</v>
      </c>
    </row>
    <row r="125" spans="1:13" s="392" customFormat="1" ht="60" customHeight="1">
      <c r="A125" s="151"/>
      <c r="B125" s="164" t="s">
        <v>115</v>
      </c>
      <c r="C125" s="165" t="s">
        <v>3</v>
      </c>
      <c r="D125" s="150" t="s">
        <v>72</v>
      </c>
      <c r="E125" s="150" t="s">
        <v>86</v>
      </c>
      <c r="F125" s="744" t="s">
        <v>88</v>
      </c>
      <c r="G125" s="745" t="s">
        <v>62</v>
      </c>
      <c r="H125" s="745" t="s">
        <v>63</v>
      </c>
      <c r="I125" s="746" t="s">
        <v>64</v>
      </c>
      <c r="J125" s="150"/>
      <c r="K125" s="166">
        <f t="shared" si="17"/>
        <v>11258.5</v>
      </c>
      <c r="L125" s="166">
        <f t="shared" si="17"/>
        <v>0</v>
      </c>
      <c r="M125" s="166">
        <f t="shared" si="17"/>
        <v>11258.5</v>
      </c>
    </row>
    <row r="126" spans="1:13" s="147" customFormat="1" ht="37.5" customHeight="1">
      <c r="A126" s="151"/>
      <c r="B126" s="164" t="s">
        <v>404</v>
      </c>
      <c r="C126" s="165" t="s">
        <v>3</v>
      </c>
      <c r="D126" s="150" t="s">
        <v>72</v>
      </c>
      <c r="E126" s="150" t="s">
        <v>86</v>
      </c>
      <c r="F126" s="744" t="s">
        <v>88</v>
      </c>
      <c r="G126" s="745" t="s">
        <v>65</v>
      </c>
      <c r="H126" s="745" t="s">
        <v>63</v>
      </c>
      <c r="I126" s="746" t="s">
        <v>64</v>
      </c>
      <c r="J126" s="150"/>
      <c r="K126" s="166">
        <f>K127+K130</f>
        <v>11258.5</v>
      </c>
      <c r="L126" s="166">
        <f>L127+L130</f>
        <v>0</v>
      </c>
      <c r="M126" s="166">
        <f>M127+M130</f>
        <v>11258.5</v>
      </c>
    </row>
    <row r="127" spans="1:13" s="147" customFormat="1" ht="56.25" customHeight="1">
      <c r="A127" s="151"/>
      <c r="B127" s="164" t="s">
        <v>116</v>
      </c>
      <c r="C127" s="165" t="s">
        <v>3</v>
      </c>
      <c r="D127" s="150" t="s">
        <v>72</v>
      </c>
      <c r="E127" s="150" t="s">
        <v>86</v>
      </c>
      <c r="F127" s="744" t="s">
        <v>88</v>
      </c>
      <c r="G127" s="745" t="s">
        <v>65</v>
      </c>
      <c r="H127" s="745" t="s">
        <v>57</v>
      </c>
      <c r="I127" s="746" t="s">
        <v>64</v>
      </c>
      <c r="J127" s="150"/>
      <c r="K127" s="166">
        <f t="shared" ref="K127:M127" si="18">K128</f>
        <v>11070.6</v>
      </c>
      <c r="L127" s="166">
        <f t="shared" si="18"/>
        <v>0</v>
      </c>
      <c r="M127" s="166">
        <f t="shared" si="18"/>
        <v>11070.6</v>
      </c>
    </row>
    <row r="128" spans="1:13" s="147" customFormat="1" ht="75" customHeight="1">
      <c r="A128" s="151"/>
      <c r="B128" s="196" t="s">
        <v>583</v>
      </c>
      <c r="C128" s="165" t="s">
        <v>3</v>
      </c>
      <c r="D128" s="150" t="s">
        <v>72</v>
      </c>
      <c r="E128" s="150" t="s">
        <v>86</v>
      </c>
      <c r="F128" s="744" t="s">
        <v>88</v>
      </c>
      <c r="G128" s="745" t="s">
        <v>65</v>
      </c>
      <c r="H128" s="745" t="s">
        <v>57</v>
      </c>
      <c r="I128" s="746" t="s">
        <v>82</v>
      </c>
      <c r="J128" s="150"/>
      <c r="K128" s="166">
        <f>K129</f>
        <v>11070.6</v>
      </c>
      <c r="L128" s="166">
        <f>L129</f>
        <v>0</v>
      </c>
      <c r="M128" s="166">
        <f>M129</f>
        <v>11070.6</v>
      </c>
    </row>
    <row r="129" spans="1:13" s="392" customFormat="1" ht="18.75" customHeight="1">
      <c r="A129" s="151"/>
      <c r="B129" s="164" t="s">
        <v>77</v>
      </c>
      <c r="C129" s="165" t="s">
        <v>3</v>
      </c>
      <c r="D129" s="150" t="s">
        <v>72</v>
      </c>
      <c r="E129" s="150" t="s">
        <v>86</v>
      </c>
      <c r="F129" s="744" t="s">
        <v>88</v>
      </c>
      <c r="G129" s="745" t="s">
        <v>65</v>
      </c>
      <c r="H129" s="745" t="s">
        <v>57</v>
      </c>
      <c r="I129" s="746" t="s">
        <v>82</v>
      </c>
      <c r="J129" s="150" t="s">
        <v>78</v>
      </c>
      <c r="K129" s="166">
        <v>11070.6</v>
      </c>
      <c r="L129" s="166">
        <f>M129-K129</f>
        <v>0</v>
      </c>
      <c r="M129" s="166">
        <v>11070.6</v>
      </c>
    </row>
    <row r="130" spans="1:13" s="147" customFormat="1" ht="63.75" customHeight="1">
      <c r="A130" s="151"/>
      <c r="B130" s="164" t="s">
        <v>117</v>
      </c>
      <c r="C130" s="165" t="s">
        <v>3</v>
      </c>
      <c r="D130" s="150" t="s">
        <v>72</v>
      </c>
      <c r="E130" s="150" t="s">
        <v>86</v>
      </c>
      <c r="F130" s="744" t="s">
        <v>88</v>
      </c>
      <c r="G130" s="745" t="s">
        <v>65</v>
      </c>
      <c r="H130" s="745" t="s">
        <v>59</v>
      </c>
      <c r="I130" s="746" t="s">
        <v>64</v>
      </c>
      <c r="J130" s="150"/>
      <c r="K130" s="166">
        <f t="shared" ref="K130:M131" si="19">K131</f>
        <v>187.9</v>
      </c>
      <c r="L130" s="166">
        <f t="shared" si="19"/>
        <v>0</v>
      </c>
      <c r="M130" s="166">
        <f t="shared" si="19"/>
        <v>187.9</v>
      </c>
    </row>
    <row r="131" spans="1:13" s="147" customFormat="1" ht="172.5" customHeight="1">
      <c r="A131" s="151"/>
      <c r="B131" s="164" t="s">
        <v>689</v>
      </c>
      <c r="C131" s="165" t="s">
        <v>3</v>
      </c>
      <c r="D131" s="150" t="s">
        <v>72</v>
      </c>
      <c r="E131" s="150" t="s">
        <v>86</v>
      </c>
      <c r="F131" s="744" t="s">
        <v>88</v>
      </c>
      <c r="G131" s="745" t="s">
        <v>65</v>
      </c>
      <c r="H131" s="745" t="s">
        <v>59</v>
      </c>
      <c r="I131" s="746" t="s">
        <v>118</v>
      </c>
      <c r="J131" s="150"/>
      <c r="K131" s="166">
        <f t="shared" si="19"/>
        <v>187.9</v>
      </c>
      <c r="L131" s="166">
        <f t="shared" si="19"/>
        <v>0</v>
      </c>
      <c r="M131" s="166">
        <f t="shared" si="19"/>
        <v>187.9</v>
      </c>
    </row>
    <row r="132" spans="1:13" s="392" customFormat="1" ht="56.25" customHeight="1">
      <c r="A132" s="151"/>
      <c r="B132" s="164" t="s">
        <v>75</v>
      </c>
      <c r="C132" s="165" t="s">
        <v>3</v>
      </c>
      <c r="D132" s="150" t="s">
        <v>72</v>
      </c>
      <c r="E132" s="150" t="s">
        <v>86</v>
      </c>
      <c r="F132" s="744" t="s">
        <v>88</v>
      </c>
      <c r="G132" s="745" t="s">
        <v>65</v>
      </c>
      <c r="H132" s="745" t="s">
        <v>59</v>
      </c>
      <c r="I132" s="746" t="s">
        <v>118</v>
      </c>
      <c r="J132" s="150" t="s">
        <v>76</v>
      </c>
      <c r="K132" s="166">
        <v>187.9</v>
      </c>
      <c r="L132" s="166">
        <f>M132-K132</f>
        <v>0</v>
      </c>
      <c r="M132" s="166">
        <v>187.9</v>
      </c>
    </row>
    <row r="133" spans="1:13" s="147" customFormat="1" ht="18.75" customHeight="1">
      <c r="A133" s="151"/>
      <c r="B133" s="169" t="s">
        <v>119</v>
      </c>
      <c r="C133" s="165" t="s">
        <v>3</v>
      </c>
      <c r="D133" s="150" t="s">
        <v>72</v>
      </c>
      <c r="E133" s="150" t="s">
        <v>100</v>
      </c>
      <c r="F133" s="744"/>
      <c r="G133" s="745"/>
      <c r="H133" s="745"/>
      <c r="I133" s="746"/>
      <c r="J133" s="150"/>
      <c r="K133" s="166">
        <f t="shared" ref="K133:M137" si="20">K134</f>
        <v>9802.3829999999998</v>
      </c>
      <c r="L133" s="166">
        <f t="shared" si="20"/>
        <v>0</v>
      </c>
      <c r="M133" s="166">
        <f t="shared" si="20"/>
        <v>9802.3829999999998</v>
      </c>
    </row>
    <row r="134" spans="1:13" s="392" customFormat="1" ht="56.25" customHeight="1">
      <c r="A134" s="151"/>
      <c r="B134" s="164" t="s">
        <v>120</v>
      </c>
      <c r="C134" s="165" t="s">
        <v>3</v>
      </c>
      <c r="D134" s="150" t="s">
        <v>72</v>
      </c>
      <c r="E134" s="150" t="s">
        <v>100</v>
      </c>
      <c r="F134" s="744" t="s">
        <v>121</v>
      </c>
      <c r="G134" s="745" t="s">
        <v>62</v>
      </c>
      <c r="H134" s="745" t="s">
        <v>63</v>
      </c>
      <c r="I134" s="746" t="s">
        <v>64</v>
      </c>
      <c r="J134" s="150"/>
      <c r="K134" s="166">
        <f t="shared" si="20"/>
        <v>9802.3829999999998</v>
      </c>
      <c r="L134" s="166">
        <f t="shared" si="20"/>
        <v>0</v>
      </c>
      <c r="M134" s="166">
        <f t="shared" si="20"/>
        <v>9802.3829999999998</v>
      </c>
    </row>
    <row r="135" spans="1:13" s="147" customFormat="1" ht="37.5" customHeight="1">
      <c r="A135" s="151"/>
      <c r="B135" s="164" t="s">
        <v>404</v>
      </c>
      <c r="C135" s="165" t="s">
        <v>3</v>
      </c>
      <c r="D135" s="150" t="s">
        <v>72</v>
      </c>
      <c r="E135" s="150" t="s">
        <v>100</v>
      </c>
      <c r="F135" s="744" t="s">
        <v>121</v>
      </c>
      <c r="G135" s="745" t="s">
        <v>65</v>
      </c>
      <c r="H135" s="745" t="s">
        <v>63</v>
      </c>
      <c r="I135" s="746" t="s">
        <v>64</v>
      </c>
      <c r="J135" s="150"/>
      <c r="K135" s="166">
        <f t="shared" si="20"/>
        <v>9802.3829999999998</v>
      </c>
      <c r="L135" s="166">
        <f t="shared" si="20"/>
        <v>0</v>
      </c>
      <c r="M135" s="166">
        <f t="shared" si="20"/>
        <v>9802.3829999999998</v>
      </c>
    </row>
    <row r="136" spans="1:13" s="147" customFormat="1" ht="93.75" customHeight="1">
      <c r="A136" s="151"/>
      <c r="B136" s="164" t="s">
        <v>122</v>
      </c>
      <c r="C136" s="165" t="s">
        <v>3</v>
      </c>
      <c r="D136" s="150" t="s">
        <v>72</v>
      </c>
      <c r="E136" s="150" t="s">
        <v>100</v>
      </c>
      <c r="F136" s="744" t="s">
        <v>121</v>
      </c>
      <c r="G136" s="745" t="s">
        <v>65</v>
      </c>
      <c r="H136" s="745" t="s">
        <v>57</v>
      </c>
      <c r="I136" s="746" t="s">
        <v>64</v>
      </c>
      <c r="J136" s="150"/>
      <c r="K136" s="166">
        <f t="shared" si="20"/>
        <v>9802.3829999999998</v>
      </c>
      <c r="L136" s="166">
        <f t="shared" si="20"/>
        <v>0</v>
      </c>
      <c r="M136" s="166">
        <f t="shared" si="20"/>
        <v>9802.3829999999998</v>
      </c>
    </row>
    <row r="137" spans="1:13" s="147" customFormat="1" ht="75.75" customHeight="1">
      <c r="A137" s="151"/>
      <c r="B137" s="170" t="s">
        <v>123</v>
      </c>
      <c r="C137" s="165" t="s">
        <v>3</v>
      </c>
      <c r="D137" s="150" t="s">
        <v>72</v>
      </c>
      <c r="E137" s="150" t="s">
        <v>100</v>
      </c>
      <c r="F137" s="744" t="s">
        <v>121</v>
      </c>
      <c r="G137" s="745" t="s">
        <v>65</v>
      </c>
      <c r="H137" s="745" t="s">
        <v>57</v>
      </c>
      <c r="I137" s="746" t="s">
        <v>124</v>
      </c>
      <c r="J137" s="150"/>
      <c r="K137" s="166">
        <f t="shared" si="20"/>
        <v>9802.3829999999998</v>
      </c>
      <c r="L137" s="166">
        <f t="shared" si="20"/>
        <v>0</v>
      </c>
      <c r="M137" s="166">
        <f t="shared" si="20"/>
        <v>9802.3829999999998</v>
      </c>
    </row>
    <row r="138" spans="1:13" s="392" customFormat="1" ht="56.25" customHeight="1">
      <c r="A138" s="151"/>
      <c r="B138" s="164" t="s">
        <v>75</v>
      </c>
      <c r="C138" s="165" t="s">
        <v>3</v>
      </c>
      <c r="D138" s="150" t="s">
        <v>72</v>
      </c>
      <c r="E138" s="150" t="s">
        <v>100</v>
      </c>
      <c r="F138" s="744" t="s">
        <v>121</v>
      </c>
      <c r="G138" s="745" t="s">
        <v>65</v>
      </c>
      <c r="H138" s="745" t="s">
        <v>57</v>
      </c>
      <c r="I138" s="746" t="s">
        <v>124</v>
      </c>
      <c r="J138" s="150" t="s">
        <v>76</v>
      </c>
      <c r="K138" s="166">
        <f>5728.2+4074.183</f>
        <v>9802.3829999999998</v>
      </c>
      <c r="L138" s="166">
        <f>M138-K138</f>
        <v>0</v>
      </c>
      <c r="M138" s="166">
        <f>5728.2+4074.183</f>
        <v>9802.3829999999998</v>
      </c>
    </row>
    <row r="139" spans="1:13" s="147" customFormat="1" ht="37.5" customHeight="1">
      <c r="A139" s="151"/>
      <c r="B139" s="169" t="s">
        <v>127</v>
      </c>
      <c r="C139" s="165" t="s">
        <v>3</v>
      </c>
      <c r="D139" s="150" t="s">
        <v>72</v>
      </c>
      <c r="E139" s="150" t="s">
        <v>121</v>
      </c>
      <c r="F139" s="744"/>
      <c r="G139" s="745"/>
      <c r="H139" s="745"/>
      <c r="I139" s="746"/>
      <c r="J139" s="150"/>
      <c r="K139" s="166">
        <f>K140+K149+K156</f>
        <v>8500.6999999999989</v>
      </c>
      <c r="L139" s="166">
        <f>L140+L149+L156</f>
        <v>0</v>
      </c>
      <c r="M139" s="166">
        <f>M140+M149+M156</f>
        <v>8500.6999999999989</v>
      </c>
    </row>
    <row r="140" spans="1:13" s="392" customFormat="1" ht="75" customHeight="1">
      <c r="A140" s="151"/>
      <c r="B140" s="164" t="s">
        <v>128</v>
      </c>
      <c r="C140" s="165" t="s">
        <v>3</v>
      </c>
      <c r="D140" s="150" t="s">
        <v>72</v>
      </c>
      <c r="E140" s="150" t="s">
        <v>121</v>
      </c>
      <c r="F140" s="744" t="s">
        <v>92</v>
      </c>
      <c r="G140" s="745" t="s">
        <v>62</v>
      </c>
      <c r="H140" s="745" t="s">
        <v>63</v>
      </c>
      <c r="I140" s="746" t="s">
        <v>64</v>
      </c>
      <c r="J140" s="150"/>
      <c r="K140" s="166">
        <f>K141+K145</f>
        <v>1025.0999999999999</v>
      </c>
      <c r="L140" s="166">
        <f>L141+L145</f>
        <v>0</v>
      </c>
      <c r="M140" s="166">
        <f>M141+M145</f>
        <v>1025.0999999999999</v>
      </c>
    </row>
    <row r="141" spans="1:13" s="392" customFormat="1" ht="56.25" customHeight="1">
      <c r="A141" s="151"/>
      <c r="B141" s="169" t="s">
        <v>129</v>
      </c>
      <c r="C141" s="165" t="s">
        <v>3</v>
      </c>
      <c r="D141" s="150" t="s">
        <v>72</v>
      </c>
      <c r="E141" s="150" t="s">
        <v>121</v>
      </c>
      <c r="F141" s="744" t="s">
        <v>92</v>
      </c>
      <c r="G141" s="745" t="s">
        <v>65</v>
      </c>
      <c r="H141" s="745" t="s">
        <v>63</v>
      </c>
      <c r="I141" s="746" t="s">
        <v>64</v>
      </c>
      <c r="J141" s="150"/>
      <c r="K141" s="166">
        <f t="shared" ref="K141:M142" si="21">K142</f>
        <v>310</v>
      </c>
      <c r="L141" s="166">
        <f t="shared" si="21"/>
        <v>0</v>
      </c>
      <c r="M141" s="166">
        <f t="shared" si="21"/>
        <v>310</v>
      </c>
    </row>
    <row r="142" spans="1:13" s="147" customFormat="1" ht="37.5" customHeight="1">
      <c r="A142" s="151"/>
      <c r="B142" s="164" t="s">
        <v>130</v>
      </c>
      <c r="C142" s="165" t="s">
        <v>3</v>
      </c>
      <c r="D142" s="150" t="s">
        <v>72</v>
      </c>
      <c r="E142" s="150" t="s">
        <v>121</v>
      </c>
      <c r="F142" s="744" t="s">
        <v>92</v>
      </c>
      <c r="G142" s="745" t="s">
        <v>65</v>
      </c>
      <c r="H142" s="745" t="s">
        <v>57</v>
      </c>
      <c r="I142" s="746" t="s">
        <v>64</v>
      </c>
      <c r="J142" s="150"/>
      <c r="K142" s="166">
        <f t="shared" si="21"/>
        <v>310</v>
      </c>
      <c r="L142" s="166">
        <f t="shared" si="21"/>
        <v>0</v>
      </c>
      <c r="M142" s="166">
        <f t="shared" si="21"/>
        <v>310</v>
      </c>
    </row>
    <row r="143" spans="1:13" s="392" customFormat="1" ht="37.5" customHeight="1">
      <c r="A143" s="151"/>
      <c r="B143" s="169" t="s">
        <v>131</v>
      </c>
      <c r="C143" s="165" t="s">
        <v>3</v>
      </c>
      <c r="D143" s="150" t="s">
        <v>72</v>
      </c>
      <c r="E143" s="150" t="s">
        <v>121</v>
      </c>
      <c r="F143" s="744" t="s">
        <v>92</v>
      </c>
      <c r="G143" s="745" t="s">
        <v>65</v>
      </c>
      <c r="H143" s="745" t="s">
        <v>57</v>
      </c>
      <c r="I143" s="746" t="s">
        <v>132</v>
      </c>
      <c r="J143" s="150"/>
      <c r="K143" s="166">
        <f>K144</f>
        <v>310</v>
      </c>
      <c r="L143" s="166">
        <f>L144</f>
        <v>0</v>
      </c>
      <c r="M143" s="166">
        <f>M144</f>
        <v>310</v>
      </c>
    </row>
    <row r="144" spans="1:13" s="147" customFormat="1" ht="56.25" customHeight="1">
      <c r="A144" s="151"/>
      <c r="B144" s="164" t="s">
        <v>75</v>
      </c>
      <c r="C144" s="165" t="s">
        <v>3</v>
      </c>
      <c r="D144" s="150" t="s">
        <v>72</v>
      </c>
      <c r="E144" s="150" t="s">
        <v>121</v>
      </c>
      <c r="F144" s="744" t="s">
        <v>92</v>
      </c>
      <c r="G144" s="745" t="s">
        <v>65</v>
      </c>
      <c r="H144" s="745" t="s">
        <v>57</v>
      </c>
      <c r="I144" s="746" t="s">
        <v>132</v>
      </c>
      <c r="J144" s="150" t="s">
        <v>76</v>
      </c>
      <c r="K144" s="166">
        <v>310</v>
      </c>
      <c r="L144" s="166">
        <f>M144-K144</f>
        <v>0</v>
      </c>
      <c r="M144" s="166">
        <v>310</v>
      </c>
    </row>
    <row r="145" spans="1:13" s="392" customFormat="1" ht="37.5" customHeight="1">
      <c r="A145" s="151"/>
      <c r="B145" s="169" t="s">
        <v>133</v>
      </c>
      <c r="C145" s="165" t="s">
        <v>3</v>
      </c>
      <c r="D145" s="150" t="s">
        <v>72</v>
      </c>
      <c r="E145" s="150" t="s">
        <v>121</v>
      </c>
      <c r="F145" s="744" t="s">
        <v>92</v>
      </c>
      <c r="G145" s="745" t="s">
        <v>110</v>
      </c>
      <c r="H145" s="745" t="s">
        <v>63</v>
      </c>
      <c r="I145" s="746" t="s">
        <v>64</v>
      </c>
      <c r="J145" s="150"/>
      <c r="K145" s="166">
        <f t="shared" ref="K145:M147" si="22">K146</f>
        <v>715.1</v>
      </c>
      <c r="L145" s="166">
        <f t="shared" si="22"/>
        <v>0</v>
      </c>
      <c r="M145" s="166">
        <f t="shared" si="22"/>
        <v>715.1</v>
      </c>
    </row>
    <row r="146" spans="1:13" s="147" customFormat="1" ht="56.25" customHeight="1">
      <c r="A146" s="151"/>
      <c r="B146" s="169" t="s">
        <v>134</v>
      </c>
      <c r="C146" s="165" t="s">
        <v>3</v>
      </c>
      <c r="D146" s="150" t="s">
        <v>72</v>
      </c>
      <c r="E146" s="150" t="s">
        <v>121</v>
      </c>
      <c r="F146" s="744" t="s">
        <v>92</v>
      </c>
      <c r="G146" s="745" t="s">
        <v>110</v>
      </c>
      <c r="H146" s="745" t="s">
        <v>57</v>
      </c>
      <c r="I146" s="746" t="s">
        <v>64</v>
      </c>
      <c r="J146" s="150"/>
      <c r="K146" s="166">
        <f t="shared" si="22"/>
        <v>715.1</v>
      </c>
      <c r="L146" s="166">
        <f t="shared" si="22"/>
        <v>0</v>
      </c>
      <c r="M146" s="166">
        <f t="shared" si="22"/>
        <v>715.1</v>
      </c>
    </row>
    <row r="147" spans="1:13" s="392" customFormat="1" ht="79.5" customHeight="1">
      <c r="A147" s="151"/>
      <c r="B147" s="169" t="s">
        <v>135</v>
      </c>
      <c r="C147" s="165" t="s">
        <v>3</v>
      </c>
      <c r="D147" s="150" t="s">
        <v>72</v>
      </c>
      <c r="E147" s="150" t="s">
        <v>121</v>
      </c>
      <c r="F147" s="744" t="s">
        <v>92</v>
      </c>
      <c r="G147" s="745" t="s">
        <v>110</v>
      </c>
      <c r="H147" s="745" t="s">
        <v>57</v>
      </c>
      <c r="I147" s="746" t="s">
        <v>136</v>
      </c>
      <c r="J147" s="150"/>
      <c r="K147" s="166">
        <f t="shared" si="22"/>
        <v>715.1</v>
      </c>
      <c r="L147" s="166">
        <f t="shared" si="22"/>
        <v>0</v>
      </c>
      <c r="M147" s="166">
        <f t="shared" si="22"/>
        <v>715.1</v>
      </c>
    </row>
    <row r="148" spans="1:13" s="147" customFormat="1" ht="56.25" customHeight="1">
      <c r="A148" s="151"/>
      <c r="B148" s="164" t="s">
        <v>75</v>
      </c>
      <c r="C148" s="165" t="s">
        <v>3</v>
      </c>
      <c r="D148" s="150" t="s">
        <v>72</v>
      </c>
      <c r="E148" s="150" t="s">
        <v>121</v>
      </c>
      <c r="F148" s="744" t="s">
        <v>92</v>
      </c>
      <c r="G148" s="745" t="s">
        <v>110</v>
      </c>
      <c r="H148" s="745" t="s">
        <v>57</v>
      </c>
      <c r="I148" s="746" t="s">
        <v>136</v>
      </c>
      <c r="J148" s="150" t="s">
        <v>76</v>
      </c>
      <c r="K148" s="166">
        <v>715.1</v>
      </c>
      <c r="L148" s="166">
        <f>M148-K148</f>
        <v>0</v>
      </c>
      <c r="M148" s="166">
        <v>715.1</v>
      </c>
    </row>
    <row r="149" spans="1:13" s="392" customFormat="1" ht="75" customHeight="1">
      <c r="A149" s="151"/>
      <c r="B149" s="164" t="s">
        <v>137</v>
      </c>
      <c r="C149" s="165" t="s">
        <v>3</v>
      </c>
      <c r="D149" s="150" t="s">
        <v>72</v>
      </c>
      <c r="E149" s="150" t="s">
        <v>121</v>
      </c>
      <c r="F149" s="744" t="s">
        <v>109</v>
      </c>
      <c r="G149" s="745" t="s">
        <v>62</v>
      </c>
      <c r="H149" s="745" t="s">
        <v>63</v>
      </c>
      <c r="I149" s="746" t="s">
        <v>64</v>
      </c>
      <c r="J149" s="150"/>
      <c r="K149" s="166">
        <f t="shared" ref="K149:M152" si="23">K150</f>
        <v>891.2</v>
      </c>
      <c r="L149" s="166">
        <f t="shared" si="23"/>
        <v>0</v>
      </c>
      <c r="M149" s="166">
        <f t="shared" si="23"/>
        <v>891.2</v>
      </c>
    </row>
    <row r="150" spans="1:13" s="392" customFormat="1" ht="37.5" customHeight="1">
      <c r="A150" s="151"/>
      <c r="B150" s="164" t="s">
        <v>404</v>
      </c>
      <c r="C150" s="165" t="s">
        <v>3</v>
      </c>
      <c r="D150" s="150" t="s">
        <v>72</v>
      </c>
      <c r="E150" s="150" t="s">
        <v>121</v>
      </c>
      <c r="F150" s="744" t="s">
        <v>109</v>
      </c>
      <c r="G150" s="745" t="s">
        <v>65</v>
      </c>
      <c r="H150" s="745" t="s">
        <v>63</v>
      </c>
      <c r="I150" s="746" t="s">
        <v>64</v>
      </c>
      <c r="J150" s="150"/>
      <c r="K150" s="166">
        <f t="shared" si="23"/>
        <v>891.2</v>
      </c>
      <c r="L150" s="166">
        <f t="shared" si="23"/>
        <v>0</v>
      </c>
      <c r="M150" s="166">
        <f t="shared" si="23"/>
        <v>891.2</v>
      </c>
    </row>
    <row r="151" spans="1:13" s="147" customFormat="1" ht="75" customHeight="1">
      <c r="A151" s="151"/>
      <c r="B151" s="169" t="s">
        <v>360</v>
      </c>
      <c r="C151" s="165" t="s">
        <v>3</v>
      </c>
      <c r="D151" s="150" t="s">
        <v>72</v>
      </c>
      <c r="E151" s="150" t="s">
        <v>121</v>
      </c>
      <c r="F151" s="744" t="s">
        <v>109</v>
      </c>
      <c r="G151" s="745" t="s">
        <v>65</v>
      </c>
      <c r="H151" s="745" t="s">
        <v>57</v>
      </c>
      <c r="I151" s="746" t="s">
        <v>64</v>
      </c>
      <c r="J151" s="150"/>
      <c r="K151" s="166">
        <f>K152+K154</f>
        <v>891.2</v>
      </c>
      <c r="L151" s="166">
        <f>L152+L154</f>
        <v>0</v>
      </c>
      <c r="M151" s="166">
        <f>M152+M154</f>
        <v>891.2</v>
      </c>
    </row>
    <row r="152" spans="1:13" s="392" customFormat="1" ht="56.25" customHeight="1">
      <c r="A152" s="151"/>
      <c r="B152" s="169" t="s">
        <v>138</v>
      </c>
      <c r="C152" s="165" t="s">
        <v>3</v>
      </c>
      <c r="D152" s="150" t="s">
        <v>72</v>
      </c>
      <c r="E152" s="150" t="s">
        <v>121</v>
      </c>
      <c r="F152" s="744" t="s">
        <v>109</v>
      </c>
      <c r="G152" s="745" t="s">
        <v>65</v>
      </c>
      <c r="H152" s="745" t="s">
        <v>57</v>
      </c>
      <c r="I152" s="746" t="s">
        <v>139</v>
      </c>
      <c r="J152" s="150"/>
      <c r="K152" s="166">
        <f t="shared" si="23"/>
        <v>112.2</v>
      </c>
      <c r="L152" s="166">
        <f t="shared" si="23"/>
        <v>0</v>
      </c>
      <c r="M152" s="166">
        <f t="shared" si="23"/>
        <v>112.2</v>
      </c>
    </row>
    <row r="153" spans="1:13" s="147" customFormat="1" ht="56.25" customHeight="1">
      <c r="A153" s="151"/>
      <c r="B153" s="164" t="s">
        <v>75</v>
      </c>
      <c r="C153" s="165" t="s">
        <v>3</v>
      </c>
      <c r="D153" s="150" t="s">
        <v>72</v>
      </c>
      <c r="E153" s="150" t="s">
        <v>121</v>
      </c>
      <c r="F153" s="744" t="s">
        <v>109</v>
      </c>
      <c r="G153" s="745" t="s">
        <v>65</v>
      </c>
      <c r="H153" s="745" t="s">
        <v>57</v>
      </c>
      <c r="I153" s="746" t="s">
        <v>139</v>
      </c>
      <c r="J153" s="150" t="s">
        <v>76</v>
      </c>
      <c r="K153" s="166">
        <v>112.2</v>
      </c>
      <c r="L153" s="166">
        <f>M153-K153</f>
        <v>0</v>
      </c>
      <c r="M153" s="166">
        <v>112.2</v>
      </c>
    </row>
    <row r="154" spans="1:13" s="147" customFormat="1" ht="75" customHeight="1">
      <c r="A154" s="151"/>
      <c r="B154" s="164" t="s">
        <v>497</v>
      </c>
      <c r="C154" s="165" t="s">
        <v>3</v>
      </c>
      <c r="D154" s="150" t="s">
        <v>72</v>
      </c>
      <c r="E154" s="150" t="s">
        <v>121</v>
      </c>
      <c r="F154" s="744" t="s">
        <v>109</v>
      </c>
      <c r="G154" s="745" t="s">
        <v>65</v>
      </c>
      <c r="H154" s="745" t="s">
        <v>57</v>
      </c>
      <c r="I154" s="746" t="s">
        <v>496</v>
      </c>
      <c r="J154" s="150"/>
      <c r="K154" s="166">
        <f t="shared" ref="K154:M154" si="24">K155</f>
        <v>779</v>
      </c>
      <c r="L154" s="166">
        <f t="shared" si="24"/>
        <v>0</v>
      </c>
      <c r="M154" s="166">
        <f t="shared" si="24"/>
        <v>779</v>
      </c>
    </row>
    <row r="155" spans="1:13" s="147" customFormat="1" ht="56.25" customHeight="1">
      <c r="A155" s="151"/>
      <c r="B155" s="164" t="s">
        <v>75</v>
      </c>
      <c r="C155" s="165" t="s">
        <v>3</v>
      </c>
      <c r="D155" s="150" t="s">
        <v>72</v>
      </c>
      <c r="E155" s="150" t="s">
        <v>121</v>
      </c>
      <c r="F155" s="744" t="s">
        <v>109</v>
      </c>
      <c r="G155" s="745" t="s">
        <v>65</v>
      </c>
      <c r="H155" s="745" t="s">
        <v>57</v>
      </c>
      <c r="I155" s="746" t="s">
        <v>496</v>
      </c>
      <c r="J155" s="150" t="s">
        <v>76</v>
      </c>
      <c r="K155" s="166">
        <v>779</v>
      </c>
      <c r="L155" s="166">
        <f>M155-K155</f>
        <v>0</v>
      </c>
      <c r="M155" s="166">
        <v>779</v>
      </c>
    </row>
    <row r="156" spans="1:13" s="147" customFormat="1" ht="57.75" customHeight="1">
      <c r="A156" s="151"/>
      <c r="B156" s="164" t="s">
        <v>60</v>
      </c>
      <c r="C156" s="165" t="s">
        <v>3</v>
      </c>
      <c r="D156" s="150" t="s">
        <v>72</v>
      </c>
      <c r="E156" s="150" t="s">
        <v>121</v>
      </c>
      <c r="F156" s="744" t="s">
        <v>61</v>
      </c>
      <c r="G156" s="745" t="s">
        <v>62</v>
      </c>
      <c r="H156" s="745" t="s">
        <v>63</v>
      </c>
      <c r="I156" s="746" t="s">
        <v>64</v>
      </c>
      <c r="J156" s="150"/>
      <c r="K156" s="166">
        <f t="shared" ref="K156:M157" si="25">K157</f>
        <v>6584.4</v>
      </c>
      <c r="L156" s="166">
        <f t="shared" si="25"/>
        <v>0</v>
      </c>
      <c r="M156" s="166">
        <f t="shared" si="25"/>
        <v>6584.4</v>
      </c>
    </row>
    <row r="157" spans="1:13" s="147" customFormat="1" ht="37.5" customHeight="1">
      <c r="A157" s="151"/>
      <c r="B157" s="164" t="s">
        <v>404</v>
      </c>
      <c r="C157" s="165" t="s">
        <v>3</v>
      </c>
      <c r="D157" s="150" t="s">
        <v>72</v>
      </c>
      <c r="E157" s="150" t="s">
        <v>121</v>
      </c>
      <c r="F157" s="744" t="s">
        <v>61</v>
      </c>
      <c r="G157" s="745" t="s">
        <v>65</v>
      </c>
      <c r="H157" s="745" t="s">
        <v>63</v>
      </c>
      <c r="I157" s="746" t="s">
        <v>64</v>
      </c>
      <c r="J157" s="150"/>
      <c r="K157" s="166">
        <f t="shared" si="25"/>
        <v>6584.4</v>
      </c>
      <c r="L157" s="166">
        <f t="shared" si="25"/>
        <v>0</v>
      </c>
      <c r="M157" s="166">
        <f t="shared" si="25"/>
        <v>6584.4</v>
      </c>
    </row>
    <row r="158" spans="1:13" s="147" customFormat="1" ht="56.25" customHeight="1">
      <c r="A158" s="151"/>
      <c r="B158" s="164" t="s">
        <v>396</v>
      </c>
      <c r="C158" s="165" t="s">
        <v>3</v>
      </c>
      <c r="D158" s="150" t="s">
        <v>72</v>
      </c>
      <c r="E158" s="150" t="s">
        <v>121</v>
      </c>
      <c r="F158" s="744" t="s">
        <v>61</v>
      </c>
      <c r="G158" s="745" t="s">
        <v>65</v>
      </c>
      <c r="H158" s="745" t="s">
        <v>109</v>
      </c>
      <c r="I158" s="746" t="s">
        <v>64</v>
      </c>
      <c r="J158" s="150"/>
      <c r="K158" s="166">
        <f>K159+K162</f>
        <v>6584.4</v>
      </c>
      <c r="L158" s="166">
        <f>L159+L162</f>
        <v>0</v>
      </c>
      <c r="M158" s="166">
        <f>M159+M162</f>
        <v>6584.4</v>
      </c>
    </row>
    <row r="159" spans="1:13" s="147" customFormat="1" ht="36.75" customHeight="1">
      <c r="A159" s="151"/>
      <c r="B159" s="167" t="s">
        <v>800</v>
      </c>
      <c r="C159" s="165" t="s">
        <v>3</v>
      </c>
      <c r="D159" s="150" t="s">
        <v>72</v>
      </c>
      <c r="E159" s="150" t="s">
        <v>121</v>
      </c>
      <c r="F159" s="744" t="s">
        <v>61</v>
      </c>
      <c r="G159" s="745" t="s">
        <v>65</v>
      </c>
      <c r="H159" s="745" t="s">
        <v>109</v>
      </c>
      <c r="I159" s="746" t="s">
        <v>112</v>
      </c>
      <c r="J159" s="150"/>
      <c r="K159" s="166">
        <f>K160+K161</f>
        <v>4604.3999999999996</v>
      </c>
      <c r="L159" s="166">
        <f>L160+L161</f>
        <v>0</v>
      </c>
      <c r="M159" s="166">
        <f>M160+M161</f>
        <v>4604.3999999999996</v>
      </c>
    </row>
    <row r="160" spans="1:13" s="147" customFormat="1" ht="112.5" customHeight="1">
      <c r="A160" s="151"/>
      <c r="B160" s="164" t="s">
        <v>69</v>
      </c>
      <c r="C160" s="165" t="s">
        <v>3</v>
      </c>
      <c r="D160" s="150" t="s">
        <v>72</v>
      </c>
      <c r="E160" s="150" t="s">
        <v>121</v>
      </c>
      <c r="F160" s="744" t="s">
        <v>61</v>
      </c>
      <c r="G160" s="745" t="s">
        <v>65</v>
      </c>
      <c r="H160" s="745" t="s">
        <v>109</v>
      </c>
      <c r="I160" s="746" t="s">
        <v>112</v>
      </c>
      <c r="J160" s="150" t="s">
        <v>70</v>
      </c>
      <c r="K160" s="166">
        <v>4360.3999999999996</v>
      </c>
      <c r="L160" s="166">
        <f>M160-K160</f>
        <v>0</v>
      </c>
      <c r="M160" s="166">
        <v>4360.3999999999996</v>
      </c>
    </row>
    <row r="161" spans="1:13" s="147" customFormat="1" ht="56.25" customHeight="1">
      <c r="A161" s="151"/>
      <c r="B161" s="164" t="s">
        <v>75</v>
      </c>
      <c r="C161" s="165" t="s">
        <v>3</v>
      </c>
      <c r="D161" s="150" t="s">
        <v>72</v>
      </c>
      <c r="E161" s="150" t="s">
        <v>121</v>
      </c>
      <c r="F161" s="744" t="s">
        <v>61</v>
      </c>
      <c r="G161" s="745" t="s">
        <v>65</v>
      </c>
      <c r="H161" s="745" t="s">
        <v>109</v>
      </c>
      <c r="I161" s="746" t="s">
        <v>112</v>
      </c>
      <c r="J161" s="150" t="s">
        <v>76</v>
      </c>
      <c r="K161" s="166">
        <v>244</v>
      </c>
      <c r="L161" s="166">
        <f>M161-K161</f>
        <v>0</v>
      </c>
      <c r="M161" s="166">
        <v>244</v>
      </c>
    </row>
    <row r="162" spans="1:13" s="147" customFormat="1" ht="56.25" customHeight="1">
      <c r="A162" s="151"/>
      <c r="B162" s="164" t="s">
        <v>911</v>
      </c>
      <c r="C162" s="165" t="s">
        <v>3</v>
      </c>
      <c r="D162" s="150" t="s">
        <v>72</v>
      </c>
      <c r="E162" s="150" t="s">
        <v>121</v>
      </c>
      <c r="F162" s="744" t="s">
        <v>61</v>
      </c>
      <c r="G162" s="745" t="s">
        <v>65</v>
      </c>
      <c r="H162" s="745" t="s">
        <v>109</v>
      </c>
      <c r="I162" s="746" t="s">
        <v>910</v>
      </c>
      <c r="J162" s="150"/>
      <c r="K162" s="166">
        <f>K163</f>
        <v>1980</v>
      </c>
      <c r="L162" s="166">
        <f>L163</f>
        <v>0</v>
      </c>
      <c r="M162" s="166">
        <f>M163</f>
        <v>1980</v>
      </c>
    </row>
    <row r="163" spans="1:13" s="147" customFormat="1" ht="56.25" customHeight="1">
      <c r="A163" s="151"/>
      <c r="B163" s="164" t="s">
        <v>75</v>
      </c>
      <c r="C163" s="165" t="s">
        <v>3</v>
      </c>
      <c r="D163" s="150" t="s">
        <v>72</v>
      </c>
      <c r="E163" s="150" t="s">
        <v>121</v>
      </c>
      <c r="F163" s="744" t="s">
        <v>61</v>
      </c>
      <c r="G163" s="745" t="s">
        <v>65</v>
      </c>
      <c r="H163" s="745" t="s">
        <v>109</v>
      </c>
      <c r="I163" s="746" t="s">
        <v>910</v>
      </c>
      <c r="J163" s="150" t="s">
        <v>76</v>
      </c>
      <c r="K163" s="166">
        <v>1980</v>
      </c>
      <c r="L163" s="166">
        <f>M163-K163</f>
        <v>0</v>
      </c>
      <c r="M163" s="166">
        <v>1980</v>
      </c>
    </row>
    <row r="164" spans="1:13" s="147" customFormat="1" ht="18.75">
      <c r="A164" s="151"/>
      <c r="B164" s="164" t="s">
        <v>199</v>
      </c>
      <c r="C164" s="165" t="s">
        <v>3</v>
      </c>
      <c r="D164" s="150" t="s">
        <v>86</v>
      </c>
      <c r="E164" s="150"/>
      <c r="F164" s="744"/>
      <c r="G164" s="745"/>
      <c r="H164" s="745"/>
      <c r="I164" s="746"/>
      <c r="J164" s="150"/>
      <c r="K164" s="727">
        <f t="shared" ref="K164:M169" si="26">K165</f>
        <v>1163.5999999999999</v>
      </c>
      <c r="L164" s="166">
        <f>L165</f>
        <v>0</v>
      </c>
      <c r="M164" s="727">
        <f t="shared" si="26"/>
        <v>1163.5999999999999</v>
      </c>
    </row>
    <row r="165" spans="1:13" s="147" customFormat="1" ht="18.75">
      <c r="A165" s="151"/>
      <c r="B165" s="164" t="s">
        <v>979</v>
      </c>
      <c r="C165" s="165" t="s">
        <v>3</v>
      </c>
      <c r="D165" s="150" t="s">
        <v>86</v>
      </c>
      <c r="E165" s="150" t="s">
        <v>84</v>
      </c>
      <c r="F165" s="744"/>
      <c r="G165" s="745"/>
      <c r="H165" s="745"/>
      <c r="I165" s="746"/>
      <c r="J165" s="150"/>
      <c r="K165" s="727">
        <f t="shared" si="26"/>
        <v>1163.5999999999999</v>
      </c>
      <c r="L165" s="166">
        <f t="shared" si="26"/>
        <v>0</v>
      </c>
      <c r="M165" s="727">
        <f t="shared" si="26"/>
        <v>1163.5999999999999</v>
      </c>
    </row>
    <row r="166" spans="1:13" s="147" customFormat="1" ht="75">
      <c r="A166" s="151"/>
      <c r="B166" s="164" t="s">
        <v>980</v>
      </c>
      <c r="C166" s="165" t="s">
        <v>3</v>
      </c>
      <c r="D166" s="150" t="s">
        <v>86</v>
      </c>
      <c r="E166" s="150" t="s">
        <v>84</v>
      </c>
      <c r="F166" s="744" t="s">
        <v>125</v>
      </c>
      <c r="G166" s="745" t="s">
        <v>62</v>
      </c>
      <c r="H166" s="745" t="s">
        <v>63</v>
      </c>
      <c r="I166" s="746" t="s">
        <v>64</v>
      </c>
      <c r="J166" s="150"/>
      <c r="K166" s="727">
        <f t="shared" si="26"/>
        <v>1163.5999999999999</v>
      </c>
      <c r="L166" s="166">
        <f t="shared" si="26"/>
        <v>0</v>
      </c>
      <c r="M166" s="727">
        <f t="shared" si="26"/>
        <v>1163.5999999999999</v>
      </c>
    </row>
    <row r="167" spans="1:13" s="147" customFormat="1" ht="56.25">
      <c r="A167" s="151"/>
      <c r="B167" s="164" t="s">
        <v>981</v>
      </c>
      <c r="C167" s="165" t="s">
        <v>3</v>
      </c>
      <c r="D167" s="150" t="s">
        <v>86</v>
      </c>
      <c r="E167" s="150" t="s">
        <v>84</v>
      </c>
      <c r="F167" s="744" t="s">
        <v>125</v>
      </c>
      <c r="G167" s="745" t="s">
        <v>54</v>
      </c>
      <c r="H167" s="745" t="s">
        <v>63</v>
      </c>
      <c r="I167" s="746" t="s">
        <v>64</v>
      </c>
      <c r="J167" s="150"/>
      <c r="K167" s="727">
        <f t="shared" si="26"/>
        <v>1163.5999999999999</v>
      </c>
      <c r="L167" s="166">
        <f t="shared" si="26"/>
        <v>0</v>
      </c>
      <c r="M167" s="727">
        <f t="shared" si="26"/>
        <v>1163.5999999999999</v>
      </c>
    </row>
    <row r="168" spans="1:13" s="147" customFormat="1" ht="56.25">
      <c r="A168" s="151"/>
      <c r="B168" s="164" t="s">
        <v>982</v>
      </c>
      <c r="C168" s="165" t="s">
        <v>3</v>
      </c>
      <c r="D168" s="150" t="s">
        <v>86</v>
      </c>
      <c r="E168" s="150" t="s">
        <v>84</v>
      </c>
      <c r="F168" s="744" t="s">
        <v>125</v>
      </c>
      <c r="G168" s="745" t="s">
        <v>54</v>
      </c>
      <c r="H168" s="745" t="s">
        <v>57</v>
      </c>
      <c r="I168" s="746" t="s">
        <v>64</v>
      </c>
      <c r="J168" s="150"/>
      <c r="K168" s="727">
        <f t="shared" si="26"/>
        <v>1163.5999999999999</v>
      </c>
      <c r="L168" s="166">
        <f t="shared" si="26"/>
        <v>0</v>
      </c>
      <c r="M168" s="727">
        <f t="shared" si="26"/>
        <v>1163.5999999999999</v>
      </c>
    </row>
    <row r="169" spans="1:13" s="147" customFormat="1" ht="37.5">
      <c r="A169" s="151"/>
      <c r="B169" s="164" t="s">
        <v>983</v>
      </c>
      <c r="C169" s="165" t="s">
        <v>3</v>
      </c>
      <c r="D169" s="150" t="s">
        <v>86</v>
      </c>
      <c r="E169" s="150" t="s">
        <v>84</v>
      </c>
      <c r="F169" s="744" t="s">
        <v>125</v>
      </c>
      <c r="G169" s="745" t="s">
        <v>54</v>
      </c>
      <c r="H169" s="745" t="s">
        <v>57</v>
      </c>
      <c r="I169" s="746" t="s">
        <v>984</v>
      </c>
      <c r="J169" s="150"/>
      <c r="K169" s="727">
        <f t="shared" si="26"/>
        <v>1163.5999999999999</v>
      </c>
      <c r="L169" s="166">
        <f t="shared" si="26"/>
        <v>0</v>
      </c>
      <c r="M169" s="727">
        <f t="shared" si="26"/>
        <v>1163.5999999999999</v>
      </c>
    </row>
    <row r="170" spans="1:13" s="147" customFormat="1" ht="56.25">
      <c r="A170" s="151"/>
      <c r="B170" s="164" t="s">
        <v>75</v>
      </c>
      <c r="C170" s="165" t="s">
        <v>3</v>
      </c>
      <c r="D170" s="150" t="s">
        <v>86</v>
      </c>
      <c r="E170" s="150" t="s">
        <v>84</v>
      </c>
      <c r="F170" s="744" t="s">
        <v>125</v>
      </c>
      <c r="G170" s="745" t="s">
        <v>54</v>
      </c>
      <c r="H170" s="745" t="s">
        <v>57</v>
      </c>
      <c r="I170" s="746" t="s">
        <v>984</v>
      </c>
      <c r="J170" s="150" t="s">
        <v>76</v>
      </c>
      <c r="K170" s="166">
        <v>1163.5999999999999</v>
      </c>
      <c r="L170" s="166">
        <f>M170-K170</f>
        <v>0</v>
      </c>
      <c r="M170" s="166">
        <v>1163.5999999999999</v>
      </c>
    </row>
    <row r="171" spans="1:13" s="392" customFormat="1" ht="18.75" customHeight="1">
      <c r="A171" s="151"/>
      <c r="B171" s="164" t="s">
        <v>140</v>
      </c>
      <c r="C171" s="165" t="s">
        <v>3</v>
      </c>
      <c r="D171" s="150" t="s">
        <v>125</v>
      </c>
      <c r="E171" s="150"/>
      <c r="F171" s="744"/>
      <c r="G171" s="745"/>
      <c r="H171" s="745"/>
      <c r="I171" s="746"/>
      <c r="J171" s="150"/>
      <c r="K171" s="166">
        <f>K172+K178+K191</f>
        <v>1586.7</v>
      </c>
      <c r="L171" s="166">
        <f>L172+L178+L191</f>
        <v>954</v>
      </c>
      <c r="M171" s="166">
        <f>M172+M178+M191</f>
        <v>2540.6999999999998</v>
      </c>
    </row>
    <row r="172" spans="1:13" s="392" customFormat="1" ht="18.75" customHeight="1">
      <c r="A172" s="151"/>
      <c r="B172" s="164" t="s">
        <v>432</v>
      </c>
      <c r="C172" s="165" t="s">
        <v>3</v>
      </c>
      <c r="D172" s="150" t="s">
        <v>125</v>
      </c>
      <c r="E172" s="150" t="s">
        <v>57</v>
      </c>
      <c r="F172" s="744"/>
      <c r="G172" s="745"/>
      <c r="H172" s="745"/>
      <c r="I172" s="746"/>
      <c r="J172" s="150"/>
      <c r="K172" s="166">
        <f t="shared" ref="K172:M176" si="27">K173</f>
        <v>552</v>
      </c>
      <c r="L172" s="166">
        <f t="shared" si="27"/>
        <v>0</v>
      </c>
      <c r="M172" s="166">
        <f t="shared" si="27"/>
        <v>552</v>
      </c>
    </row>
    <row r="173" spans="1:13" s="392" customFormat="1" ht="56.25" customHeight="1">
      <c r="A173" s="151"/>
      <c r="B173" s="171" t="s">
        <v>339</v>
      </c>
      <c r="C173" s="165" t="s">
        <v>3</v>
      </c>
      <c r="D173" s="150" t="s">
        <v>125</v>
      </c>
      <c r="E173" s="150" t="s">
        <v>57</v>
      </c>
      <c r="F173" s="744" t="s">
        <v>100</v>
      </c>
      <c r="G173" s="745" t="s">
        <v>62</v>
      </c>
      <c r="H173" s="745" t="s">
        <v>63</v>
      </c>
      <c r="I173" s="746" t="s">
        <v>64</v>
      </c>
      <c r="J173" s="150"/>
      <c r="K173" s="166">
        <f t="shared" si="27"/>
        <v>552</v>
      </c>
      <c r="L173" s="166">
        <f t="shared" si="27"/>
        <v>0</v>
      </c>
      <c r="M173" s="166">
        <f t="shared" si="27"/>
        <v>552</v>
      </c>
    </row>
    <row r="174" spans="1:13" s="392" customFormat="1" ht="37.5" customHeight="1">
      <c r="A174" s="151"/>
      <c r="B174" s="164" t="s">
        <v>404</v>
      </c>
      <c r="C174" s="165" t="s">
        <v>3</v>
      </c>
      <c r="D174" s="150" t="s">
        <v>125</v>
      </c>
      <c r="E174" s="150" t="s">
        <v>57</v>
      </c>
      <c r="F174" s="744" t="s">
        <v>100</v>
      </c>
      <c r="G174" s="745" t="s">
        <v>65</v>
      </c>
      <c r="H174" s="745" t="s">
        <v>63</v>
      </c>
      <c r="I174" s="746" t="s">
        <v>64</v>
      </c>
      <c r="J174" s="150"/>
      <c r="K174" s="166">
        <f t="shared" si="27"/>
        <v>552</v>
      </c>
      <c r="L174" s="166">
        <f t="shared" si="27"/>
        <v>0</v>
      </c>
      <c r="M174" s="166">
        <f t="shared" si="27"/>
        <v>552</v>
      </c>
    </row>
    <row r="175" spans="1:13" s="392" customFormat="1" ht="93.75" customHeight="1">
      <c r="A175" s="151"/>
      <c r="B175" s="167" t="s">
        <v>756</v>
      </c>
      <c r="C175" s="165" t="s">
        <v>3</v>
      </c>
      <c r="D175" s="150" t="s">
        <v>125</v>
      </c>
      <c r="E175" s="150" t="s">
        <v>57</v>
      </c>
      <c r="F175" s="744" t="s">
        <v>100</v>
      </c>
      <c r="G175" s="745" t="s">
        <v>65</v>
      </c>
      <c r="H175" s="745" t="s">
        <v>72</v>
      </c>
      <c r="I175" s="746" t="s">
        <v>64</v>
      </c>
      <c r="J175" s="150"/>
      <c r="K175" s="166">
        <f t="shared" si="27"/>
        <v>552</v>
      </c>
      <c r="L175" s="166">
        <f t="shared" si="27"/>
        <v>0</v>
      </c>
      <c r="M175" s="166">
        <f t="shared" si="27"/>
        <v>552</v>
      </c>
    </row>
    <row r="176" spans="1:13" s="392" customFormat="1" ht="81.75" customHeight="1">
      <c r="A176" s="151"/>
      <c r="B176" s="167" t="s">
        <v>749</v>
      </c>
      <c r="C176" s="165" t="s">
        <v>3</v>
      </c>
      <c r="D176" s="150" t="s">
        <v>125</v>
      </c>
      <c r="E176" s="150" t="s">
        <v>57</v>
      </c>
      <c r="F176" s="744" t="s">
        <v>100</v>
      </c>
      <c r="G176" s="745" t="s">
        <v>65</v>
      </c>
      <c r="H176" s="745" t="s">
        <v>72</v>
      </c>
      <c r="I176" s="746" t="s">
        <v>433</v>
      </c>
      <c r="J176" s="150"/>
      <c r="K176" s="166">
        <f t="shared" si="27"/>
        <v>552</v>
      </c>
      <c r="L176" s="166">
        <f t="shared" si="27"/>
        <v>0</v>
      </c>
      <c r="M176" s="166">
        <f t="shared" si="27"/>
        <v>552</v>
      </c>
    </row>
    <row r="177" spans="1:13" s="392" customFormat="1" ht="37.5" customHeight="1">
      <c r="A177" s="151"/>
      <c r="B177" s="168" t="s">
        <v>141</v>
      </c>
      <c r="C177" s="165" t="s">
        <v>3</v>
      </c>
      <c r="D177" s="150" t="s">
        <v>125</v>
      </c>
      <c r="E177" s="150" t="s">
        <v>57</v>
      </c>
      <c r="F177" s="744" t="s">
        <v>100</v>
      </c>
      <c r="G177" s="745" t="s">
        <v>65</v>
      </c>
      <c r="H177" s="745" t="s">
        <v>72</v>
      </c>
      <c r="I177" s="746" t="s">
        <v>433</v>
      </c>
      <c r="J177" s="150" t="s">
        <v>142</v>
      </c>
      <c r="K177" s="166">
        <v>552</v>
      </c>
      <c r="L177" s="166">
        <f>M177-K177</f>
        <v>0</v>
      </c>
      <c r="M177" s="166">
        <v>552</v>
      </c>
    </row>
    <row r="178" spans="1:13" s="392" customFormat="1" ht="18.75">
      <c r="A178" s="151"/>
      <c r="B178" s="168" t="s">
        <v>988</v>
      </c>
      <c r="C178" s="165" t="s">
        <v>3</v>
      </c>
      <c r="D178" s="150" t="s">
        <v>125</v>
      </c>
      <c r="E178" s="150" t="s">
        <v>84</v>
      </c>
      <c r="F178" s="744"/>
      <c r="G178" s="745"/>
      <c r="H178" s="745"/>
      <c r="I178" s="746"/>
      <c r="J178" s="150"/>
      <c r="K178" s="727">
        <f t="shared" ref="K178:M179" si="28">K179</f>
        <v>106</v>
      </c>
      <c r="L178" s="727">
        <f t="shared" si="28"/>
        <v>954</v>
      </c>
      <c r="M178" s="727">
        <f t="shared" si="28"/>
        <v>1060</v>
      </c>
    </row>
    <row r="179" spans="1:13" s="392" customFormat="1" ht="112.5">
      <c r="A179" s="151"/>
      <c r="B179" s="168" t="s">
        <v>989</v>
      </c>
      <c r="C179" s="165" t="s">
        <v>3</v>
      </c>
      <c r="D179" s="150" t="s">
        <v>125</v>
      </c>
      <c r="E179" s="150" t="s">
        <v>84</v>
      </c>
      <c r="F179" s="744" t="s">
        <v>927</v>
      </c>
      <c r="G179" s="745" t="s">
        <v>62</v>
      </c>
      <c r="H179" s="745" t="s">
        <v>63</v>
      </c>
      <c r="I179" s="746" t="s">
        <v>64</v>
      </c>
      <c r="J179" s="150"/>
      <c r="K179" s="727">
        <f t="shared" si="28"/>
        <v>106</v>
      </c>
      <c r="L179" s="727">
        <f t="shared" si="28"/>
        <v>954</v>
      </c>
      <c r="M179" s="727">
        <f t="shared" si="28"/>
        <v>1060</v>
      </c>
    </row>
    <row r="180" spans="1:13" s="392" customFormat="1" ht="112.5">
      <c r="A180" s="151"/>
      <c r="B180" s="168" t="s">
        <v>990</v>
      </c>
      <c r="C180" s="165" t="s">
        <v>3</v>
      </c>
      <c r="D180" s="150" t="s">
        <v>125</v>
      </c>
      <c r="E180" s="150" t="s">
        <v>84</v>
      </c>
      <c r="F180" s="744" t="s">
        <v>927</v>
      </c>
      <c r="G180" s="745" t="s">
        <v>65</v>
      </c>
      <c r="H180" s="745" t="s">
        <v>63</v>
      </c>
      <c r="I180" s="746" t="s">
        <v>64</v>
      </c>
      <c r="J180" s="150"/>
      <c r="K180" s="747">
        <f>K181+K186</f>
        <v>106</v>
      </c>
      <c r="L180" s="747">
        <f>L181+L186</f>
        <v>954</v>
      </c>
      <c r="M180" s="747">
        <f>M181+M186</f>
        <v>1060</v>
      </c>
    </row>
    <row r="181" spans="1:13" s="392" customFormat="1" ht="56.25">
      <c r="A181" s="151"/>
      <c r="B181" s="168" t="s">
        <v>991</v>
      </c>
      <c r="C181" s="165" t="s">
        <v>3</v>
      </c>
      <c r="D181" s="150" t="s">
        <v>125</v>
      </c>
      <c r="E181" s="150" t="s">
        <v>84</v>
      </c>
      <c r="F181" s="744" t="s">
        <v>927</v>
      </c>
      <c r="G181" s="745" t="s">
        <v>65</v>
      </c>
      <c r="H181" s="745" t="s">
        <v>57</v>
      </c>
      <c r="I181" s="746" t="s">
        <v>64</v>
      </c>
      <c r="J181" s="150"/>
      <c r="K181" s="747">
        <f>K182</f>
        <v>21</v>
      </c>
      <c r="L181" s="747">
        <f>L182+L184</f>
        <v>189</v>
      </c>
      <c r="M181" s="747">
        <f>M182+M184</f>
        <v>210</v>
      </c>
    </row>
    <row r="182" spans="1:13" s="392" customFormat="1" ht="37.5">
      <c r="A182" s="151"/>
      <c r="B182" s="168" t="s">
        <v>752</v>
      </c>
      <c r="C182" s="165" t="s">
        <v>3</v>
      </c>
      <c r="D182" s="150" t="s">
        <v>125</v>
      </c>
      <c r="E182" s="150" t="s">
        <v>84</v>
      </c>
      <c r="F182" s="744" t="s">
        <v>927</v>
      </c>
      <c r="G182" s="745" t="s">
        <v>65</v>
      </c>
      <c r="H182" s="745" t="s">
        <v>57</v>
      </c>
      <c r="I182" s="746" t="s">
        <v>90</v>
      </c>
      <c r="J182" s="150"/>
      <c r="K182" s="727">
        <f t="shared" ref="K182:M182" si="29">K183</f>
        <v>21</v>
      </c>
      <c r="L182" s="727">
        <f t="shared" si="29"/>
        <v>-21</v>
      </c>
      <c r="M182" s="727">
        <f t="shared" si="29"/>
        <v>0</v>
      </c>
    </row>
    <row r="183" spans="1:13" s="392" customFormat="1" ht="37.5">
      <c r="A183" s="151"/>
      <c r="B183" s="168" t="s">
        <v>141</v>
      </c>
      <c r="C183" s="165" t="s">
        <v>3</v>
      </c>
      <c r="D183" s="150" t="s">
        <v>125</v>
      </c>
      <c r="E183" s="150" t="s">
        <v>84</v>
      </c>
      <c r="F183" s="744" t="s">
        <v>927</v>
      </c>
      <c r="G183" s="745" t="s">
        <v>65</v>
      </c>
      <c r="H183" s="745" t="s">
        <v>57</v>
      </c>
      <c r="I183" s="746" t="s">
        <v>90</v>
      </c>
      <c r="J183" s="150" t="s">
        <v>142</v>
      </c>
      <c r="K183" s="166">
        <v>21</v>
      </c>
      <c r="L183" s="166">
        <f>M183-K183</f>
        <v>-21</v>
      </c>
      <c r="M183" s="764">
        <f>21-21</f>
        <v>0</v>
      </c>
    </row>
    <row r="184" spans="1:13" s="392" customFormat="1" ht="37.5">
      <c r="A184" s="765"/>
      <c r="B184" s="772" t="s">
        <v>1001</v>
      </c>
      <c r="C184" s="767" t="s">
        <v>3</v>
      </c>
      <c r="D184" s="768" t="s">
        <v>125</v>
      </c>
      <c r="E184" s="768" t="s">
        <v>84</v>
      </c>
      <c r="F184" s="769" t="s">
        <v>927</v>
      </c>
      <c r="G184" s="770" t="s">
        <v>65</v>
      </c>
      <c r="H184" s="770" t="s">
        <v>57</v>
      </c>
      <c r="I184" s="771" t="s">
        <v>1002</v>
      </c>
      <c r="J184" s="768"/>
      <c r="K184" s="764"/>
      <c r="L184" s="764">
        <f t="shared" ref="L184:L185" si="30">M184-K184</f>
        <v>210</v>
      </c>
      <c r="M184" s="764">
        <f>M185</f>
        <v>210</v>
      </c>
    </row>
    <row r="185" spans="1:13" s="392" customFormat="1" ht="37.5">
      <c r="A185" s="765"/>
      <c r="B185" s="772" t="s">
        <v>141</v>
      </c>
      <c r="C185" s="767" t="s">
        <v>3</v>
      </c>
      <c r="D185" s="768" t="s">
        <v>125</v>
      </c>
      <c r="E185" s="768" t="s">
        <v>84</v>
      </c>
      <c r="F185" s="769" t="s">
        <v>927</v>
      </c>
      <c r="G185" s="770" t="s">
        <v>65</v>
      </c>
      <c r="H185" s="770" t="s">
        <v>57</v>
      </c>
      <c r="I185" s="771" t="s">
        <v>1002</v>
      </c>
      <c r="J185" s="768" t="s">
        <v>142</v>
      </c>
      <c r="K185" s="764"/>
      <c r="L185" s="764">
        <f t="shared" si="30"/>
        <v>210</v>
      </c>
      <c r="M185" s="764">
        <v>210</v>
      </c>
    </row>
    <row r="186" spans="1:13" s="392" customFormat="1" ht="75">
      <c r="A186" s="151"/>
      <c r="B186" s="168" t="s">
        <v>992</v>
      </c>
      <c r="C186" s="165" t="s">
        <v>3</v>
      </c>
      <c r="D186" s="150" t="s">
        <v>125</v>
      </c>
      <c r="E186" s="150" t="s">
        <v>84</v>
      </c>
      <c r="F186" s="744" t="s">
        <v>927</v>
      </c>
      <c r="G186" s="745" t="s">
        <v>65</v>
      </c>
      <c r="H186" s="745" t="s">
        <v>59</v>
      </c>
      <c r="I186" s="746" t="s">
        <v>64</v>
      </c>
      <c r="J186" s="150"/>
      <c r="K186" s="166">
        <f t="shared" ref="K186:M187" si="31">K187</f>
        <v>85</v>
      </c>
      <c r="L186" s="166">
        <f>L187+L190</f>
        <v>765</v>
      </c>
      <c r="M186" s="166">
        <f>M187+M190</f>
        <v>850</v>
      </c>
    </row>
    <row r="187" spans="1:13" s="392" customFormat="1" ht="37.5">
      <c r="A187" s="151"/>
      <c r="B187" s="168" t="s">
        <v>752</v>
      </c>
      <c r="C187" s="165" t="s">
        <v>3</v>
      </c>
      <c r="D187" s="150" t="s">
        <v>125</v>
      </c>
      <c r="E187" s="150" t="s">
        <v>84</v>
      </c>
      <c r="F187" s="744" t="s">
        <v>927</v>
      </c>
      <c r="G187" s="745" t="s">
        <v>65</v>
      </c>
      <c r="H187" s="745" t="s">
        <v>59</v>
      </c>
      <c r="I187" s="746" t="s">
        <v>90</v>
      </c>
      <c r="J187" s="150"/>
      <c r="K187" s="166">
        <f t="shared" si="31"/>
        <v>85</v>
      </c>
      <c r="L187" s="166">
        <f t="shared" si="31"/>
        <v>-85</v>
      </c>
      <c r="M187" s="166">
        <f t="shared" si="31"/>
        <v>0</v>
      </c>
    </row>
    <row r="188" spans="1:13" s="392" customFormat="1" ht="37.5">
      <c r="A188" s="151"/>
      <c r="B188" s="168" t="s">
        <v>141</v>
      </c>
      <c r="C188" s="165" t="s">
        <v>3</v>
      </c>
      <c r="D188" s="150" t="s">
        <v>125</v>
      </c>
      <c r="E188" s="150" t="s">
        <v>84</v>
      </c>
      <c r="F188" s="744" t="s">
        <v>927</v>
      </c>
      <c r="G188" s="745" t="s">
        <v>65</v>
      </c>
      <c r="H188" s="745" t="s">
        <v>59</v>
      </c>
      <c r="I188" s="746" t="s">
        <v>90</v>
      </c>
      <c r="J188" s="150" t="s">
        <v>142</v>
      </c>
      <c r="K188" s="166">
        <v>85</v>
      </c>
      <c r="L188" s="166">
        <f>M188-K188</f>
        <v>-85</v>
      </c>
      <c r="M188" s="764">
        <f>85-85</f>
        <v>0</v>
      </c>
    </row>
    <row r="189" spans="1:13" s="392" customFormat="1" ht="37.5">
      <c r="A189" s="151"/>
      <c r="B189" s="772" t="s">
        <v>1001</v>
      </c>
      <c r="C189" s="767" t="s">
        <v>3</v>
      </c>
      <c r="D189" s="768" t="s">
        <v>125</v>
      </c>
      <c r="E189" s="768" t="s">
        <v>84</v>
      </c>
      <c r="F189" s="769" t="s">
        <v>927</v>
      </c>
      <c r="G189" s="770" t="s">
        <v>65</v>
      </c>
      <c r="H189" s="770" t="s">
        <v>59</v>
      </c>
      <c r="I189" s="771" t="s">
        <v>1002</v>
      </c>
      <c r="J189" s="150"/>
      <c r="K189" s="764"/>
      <c r="L189" s="764">
        <f t="shared" ref="L189:L190" si="32">M189-K189</f>
        <v>850</v>
      </c>
      <c r="M189" s="764">
        <f>M190</f>
        <v>850</v>
      </c>
    </row>
    <row r="190" spans="1:13" s="392" customFormat="1" ht="37.5">
      <c r="A190" s="151"/>
      <c r="B190" s="772" t="s">
        <v>141</v>
      </c>
      <c r="C190" s="767" t="s">
        <v>3</v>
      </c>
      <c r="D190" s="768" t="s">
        <v>125</v>
      </c>
      <c r="E190" s="768" t="s">
        <v>84</v>
      </c>
      <c r="F190" s="769" t="s">
        <v>927</v>
      </c>
      <c r="G190" s="770" t="s">
        <v>65</v>
      </c>
      <c r="H190" s="770" t="s">
        <v>59</v>
      </c>
      <c r="I190" s="771" t="s">
        <v>1002</v>
      </c>
      <c r="J190" s="150" t="s">
        <v>142</v>
      </c>
      <c r="K190" s="764"/>
      <c r="L190" s="764">
        <f t="shared" si="32"/>
        <v>850</v>
      </c>
      <c r="M190" s="764">
        <v>850</v>
      </c>
    </row>
    <row r="191" spans="1:13" s="392" customFormat="1" ht="37.5" customHeight="1">
      <c r="A191" s="151"/>
      <c r="B191" s="164" t="s">
        <v>143</v>
      </c>
      <c r="C191" s="165" t="s">
        <v>3</v>
      </c>
      <c r="D191" s="150" t="s">
        <v>125</v>
      </c>
      <c r="E191" s="150" t="s">
        <v>102</v>
      </c>
      <c r="F191" s="744"/>
      <c r="G191" s="745"/>
      <c r="H191" s="745"/>
      <c r="I191" s="746"/>
      <c r="J191" s="150"/>
      <c r="K191" s="166">
        <f>K192</f>
        <v>928.7</v>
      </c>
      <c r="L191" s="166">
        <f>L192</f>
        <v>0</v>
      </c>
      <c r="M191" s="166">
        <f>M192</f>
        <v>928.7</v>
      </c>
    </row>
    <row r="192" spans="1:13" s="392" customFormat="1" ht="78" customHeight="1">
      <c r="A192" s="151"/>
      <c r="B192" s="164" t="s">
        <v>93</v>
      </c>
      <c r="C192" s="165" t="s">
        <v>3</v>
      </c>
      <c r="D192" s="150" t="s">
        <v>125</v>
      </c>
      <c r="E192" s="150" t="s">
        <v>102</v>
      </c>
      <c r="F192" s="744" t="s">
        <v>94</v>
      </c>
      <c r="G192" s="745" t="s">
        <v>62</v>
      </c>
      <c r="H192" s="745" t="s">
        <v>63</v>
      </c>
      <c r="I192" s="746" t="s">
        <v>64</v>
      </c>
      <c r="J192" s="150"/>
      <c r="K192" s="166">
        <f t="shared" ref="K192:M195" si="33">K193</f>
        <v>928.7</v>
      </c>
      <c r="L192" s="166">
        <f t="shared" si="33"/>
        <v>0</v>
      </c>
      <c r="M192" s="166">
        <f t="shared" si="33"/>
        <v>928.7</v>
      </c>
    </row>
    <row r="193" spans="1:13" s="392" customFormat="1" ht="37.5" customHeight="1">
      <c r="A193" s="151"/>
      <c r="B193" s="164" t="s">
        <v>404</v>
      </c>
      <c r="C193" s="165" t="s">
        <v>3</v>
      </c>
      <c r="D193" s="150" t="s">
        <v>125</v>
      </c>
      <c r="E193" s="150" t="s">
        <v>102</v>
      </c>
      <c r="F193" s="744" t="s">
        <v>94</v>
      </c>
      <c r="G193" s="745" t="s">
        <v>65</v>
      </c>
      <c r="H193" s="745" t="s">
        <v>63</v>
      </c>
      <c r="I193" s="746" t="s">
        <v>64</v>
      </c>
      <c r="J193" s="150"/>
      <c r="K193" s="166">
        <f t="shared" si="33"/>
        <v>928.7</v>
      </c>
      <c r="L193" s="166">
        <f t="shared" si="33"/>
        <v>0</v>
      </c>
      <c r="M193" s="166">
        <f t="shared" si="33"/>
        <v>928.7</v>
      </c>
    </row>
    <row r="194" spans="1:13" s="392" customFormat="1" ht="56.25" customHeight="1">
      <c r="A194" s="151"/>
      <c r="B194" s="167" t="s">
        <v>306</v>
      </c>
      <c r="C194" s="165" t="s">
        <v>3</v>
      </c>
      <c r="D194" s="150" t="s">
        <v>125</v>
      </c>
      <c r="E194" s="150" t="s">
        <v>102</v>
      </c>
      <c r="F194" s="744" t="s">
        <v>94</v>
      </c>
      <c r="G194" s="745" t="s">
        <v>65</v>
      </c>
      <c r="H194" s="745" t="s">
        <v>57</v>
      </c>
      <c r="I194" s="746" t="s">
        <v>64</v>
      </c>
      <c r="J194" s="150"/>
      <c r="K194" s="166">
        <f t="shared" si="33"/>
        <v>928.7</v>
      </c>
      <c r="L194" s="166">
        <f t="shared" si="33"/>
        <v>0</v>
      </c>
      <c r="M194" s="166">
        <f t="shared" si="33"/>
        <v>928.7</v>
      </c>
    </row>
    <row r="195" spans="1:13" s="392" customFormat="1" ht="38.25" customHeight="1">
      <c r="A195" s="151"/>
      <c r="B195" s="167" t="s">
        <v>95</v>
      </c>
      <c r="C195" s="165" t="s">
        <v>3</v>
      </c>
      <c r="D195" s="150" t="s">
        <v>125</v>
      </c>
      <c r="E195" s="150" t="s">
        <v>102</v>
      </c>
      <c r="F195" s="744" t="s">
        <v>94</v>
      </c>
      <c r="G195" s="745" t="s">
        <v>65</v>
      </c>
      <c r="H195" s="745" t="s">
        <v>57</v>
      </c>
      <c r="I195" s="746" t="s">
        <v>96</v>
      </c>
      <c r="J195" s="150"/>
      <c r="K195" s="166">
        <f t="shared" si="33"/>
        <v>928.7</v>
      </c>
      <c r="L195" s="166">
        <f t="shared" si="33"/>
        <v>0</v>
      </c>
      <c r="M195" s="166">
        <f t="shared" si="33"/>
        <v>928.7</v>
      </c>
    </row>
    <row r="196" spans="1:13" s="392" customFormat="1" ht="56.25" customHeight="1">
      <c r="A196" s="151"/>
      <c r="B196" s="168" t="s">
        <v>97</v>
      </c>
      <c r="C196" s="165" t="s">
        <v>3</v>
      </c>
      <c r="D196" s="150" t="s">
        <v>125</v>
      </c>
      <c r="E196" s="150" t="s">
        <v>102</v>
      </c>
      <c r="F196" s="744" t="s">
        <v>94</v>
      </c>
      <c r="G196" s="745" t="s">
        <v>65</v>
      </c>
      <c r="H196" s="745" t="s">
        <v>57</v>
      </c>
      <c r="I196" s="746" t="s">
        <v>96</v>
      </c>
      <c r="J196" s="150" t="s">
        <v>98</v>
      </c>
      <c r="K196" s="166">
        <v>928.7</v>
      </c>
      <c r="L196" s="166">
        <f>M196-K196</f>
        <v>0</v>
      </c>
      <c r="M196" s="166">
        <v>928.7</v>
      </c>
    </row>
    <row r="197" spans="1:13" s="392" customFormat="1" ht="37.5" customHeight="1">
      <c r="A197" s="151"/>
      <c r="B197" s="667" t="s">
        <v>475</v>
      </c>
      <c r="C197" s="165" t="s">
        <v>3</v>
      </c>
      <c r="D197" s="150" t="s">
        <v>92</v>
      </c>
      <c r="E197" s="150"/>
      <c r="F197" s="744"/>
      <c r="G197" s="745"/>
      <c r="H197" s="745"/>
      <c r="I197" s="746"/>
      <c r="J197" s="150"/>
      <c r="K197" s="166">
        <f t="shared" ref="K197:M202" si="34">K198</f>
        <v>16.5</v>
      </c>
      <c r="L197" s="166">
        <f t="shared" si="34"/>
        <v>0</v>
      </c>
      <c r="M197" s="166">
        <f t="shared" si="34"/>
        <v>16.5</v>
      </c>
    </row>
    <row r="198" spans="1:13" s="392" customFormat="1" ht="37.5" customHeight="1">
      <c r="A198" s="151"/>
      <c r="B198" s="651" t="s">
        <v>772</v>
      </c>
      <c r="C198" s="165" t="s">
        <v>3</v>
      </c>
      <c r="D198" s="150" t="s">
        <v>92</v>
      </c>
      <c r="E198" s="150" t="s">
        <v>57</v>
      </c>
      <c r="F198" s="744"/>
      <c r="G198" s="745"/>
      <c r="H198" s="745"/>
      <c r="I198" s="746"/>
      <c r="J198" s="150"/>
      <c r="K198" s="166">
        <f t="shared" si="34"/>
        <v>16.5</v>
      </c>
      <c r="L198" s="166">
        <f t="shared" si="34"/>
        <v>0</v>
      </c>
      <c r="M198" s="166">
        <f t="shared" si="34"/>
        <v>16.5</v>
      </c>
    </row>
    <row r="199" spans="1:13" s="392" customFormat="1" ht="61.5" customHeight="1">
      <c r="A199" s="151"/>
      <c r="B199" s="164" t="s">
        <v>60</v>
      </c>
      <c r="C199" s="165" t="s">
        <v>3</v>
      </c>
      <c r="D199" s="150" t="s">
        <v>92</v>
      </c>
      <c r="E199" s="150" t="s">
        <v>57</v>
      </c>
      <c r="F199" s="744" t="s">
        <v>61</v>
      </c>
      <c r="G199" s="745" t="s">
        <v>62</v>
      </c>
      <c r="H199" s="745" t="s">
        <v>63</v>
      </c>
      <c r="I199" s="746" t="s">
        <v>64</v>
      </c>
      <c r="J199" s="150"/>
      <c r="K199" s="166">
        <f t="shared" si="34"/>
        <v>16.5</v>
      </c>
      <c r="L199" s="166">
        <f t="shared" si="34"/>
        <v>0</v>
      </c>
      <c r="M199" s="166">
        <f t="shared" si="34"/>
        <v>16.5</v>
      </c>
    </row>
    <row r="200" spans="1:13" s="392" customFormat="1" ht="37.5" customHeight="1">
      <c r="A200" s="151"/>
      <c r="B200" s="164" t="s">
        <v>404</v>
      </c>
      <c r="C200" s="165" t="s">
        <v>3</v>
      </c>
      <c r="D200" s="150" t="s">
        <v>92</v>
      </c>
      <c r="E200" s="150" t="s">
        <v>57</v>
      </c>
      <c r="F200" s="744" t="s">
        <v>61</v>
      </c>
      <c r="G200" s="745" t="s">
        <v>65</v>
      </c>
      <c r="H200" s="745" t="s">
        <v>63</v>
      </c>
      <c r="I200" s="746" t="s">
        <v>64</v>
      </c>
      <c r="J200" s="150"/>
      <c r="K200" s="166">
        <f t="shared" si="34"/>
        <v>16.5</v>
      </c>
      <c r="L200" s="166">
        <f t="shared" si="34"/>
        <v>0</v>
      </c>
      <c r="M200" s="166">
        <f t="shared" si="34"/>
        <v>16.5</v>
      </c>
    </row>
    <row r="201" spans="1:13" s="392" customFormat="1" ht="56.25" customHeight="1">
      <c r="A201" s="151"/>
      <c r="B201" s="168" t="s">
        <v>472</v>
      </c>
      <c r="C201" s="165" t="s">
        <v>3</v>
      </c>
      <c r="D201" s="150" t="s">
        <v>92</v>
      </c>
      <c r="E201" s="150" t="s">
        <v>57</v>
      </c>
      <c r="F201" s="744" t="s">
        <v>61</v>
      </c>
      <c r="G201" s="745" t="s">
        <v>65</v>
      </c>
      <c r="H201" s="745" t="s">
        <v>100</v>
      </c>
      <c r="I201" s="746" t="s">
        <v>64</v>
      </c>
      <c r="J201" s="150"/>
      <c r="K201" s="166">
        <f t="shared" si="34"/>
        <v>16.5</v>
      </c>
      <c r="L201" s="166">
        <f t="shared" si="34"/>
        <v>0</v>
      </c>
      <c r="M201" s="166">
        <f t="shared" si="34"/>
        <v>16.5</v>
      </c>
    </row>
    <row r="202" spans="1:13" s="392" customFormat="1" ht="37.5">
      <c r="A202" s="151"/>
      <c r="B202" s="168" t="s">
        <v>473</v>
      </c>
      <c r="C202" s="165" t="s">
        <v>3</v>
      </c>
      <c r="D202" s="150" t="s">
        <v>92</v>
      </c>
      <c r="E202" s="150" t="s">
        <v>57</v>
      </c>
      <c r="F202" s="744" t="s">
        <v>61</v>
      </c>
      <c r="G202" s="745" t="s">
        <v>65</v>
      </c>
      <c r="H202" s="745" t="s">
        <v>100</v>
      </c>
      <c r="I202" s="746" t="s">
        <v>474</v>
      </c>
      <c r="J202" s="150"/>
      <c r="K202" s="166">
        <f t="shared" si="34"/>
        <v>16.5</v>
      </c>
      <c r="L202" s="166">
        <f t="shared" si="34"/>
        <v>0</v>
      </c>
      <c r="M202" s="166">
        <f t="shared" si="34"/>
        <v>16.5</v>
      </c>
    </row>
    <row r="203" spans="1:13" s="392" customFormat="1" ht="37.5" customHeight="1">
      <c r="A203" s="151"/>
      <c r="B203" s="168" t="s">
        <v>475</v>
      </c>
      <c r="C203" s="165" t="s">
        <v>3</v>
      </c>
      <c r="D203" s="150" t="s">
        <v>92</v>
      </c>
      <c r="E203" s="150" t="s">
        <v>57</v>
      </c>
      <c r="F203" s="744" t="s">
        <v>61</v>
      </c>
      <c r="G203" s="745" t="s">
        <v>65</v>
      </c>
      <c r="H203" s="745" t="s">
        <v>100</v>
      </c>
      <c r="I203" s="746" t="s">
        <v>474</v>
      </c>
      <c r="J203" s="150" t="s">
        <v>476</v>
      </c>
      <c r="K203" s="166">
        <v>16.5</v>
      </c>
      <c r="L203" s="166">
        <f>M203-K203</f>
        <v>0</v>
      </c>
      <c r="M203" s="166">
        <v>16.5</v>
      </c>
    </row>
    <row r="204" spans="1:13" s="392" customFormat="1" ht="56.25">
      <c r="A204" s="151"/>
      <c r="B204" s="164" t="s">
        <v>222</v>
      </c>
      <c r="C204" s="165" t="s">
        <v>3</v>
      </c>
      <c r="D204" s="150" t="s">
        <v>109</v>
      </c>
      <c r="E204" s="150"/>
      <c r="F204" s="744"/>
      <c r="G204" s="745"/>
      <c r="H204" s="745"/>
      <c r="I204" s="746"/>
      <c r="J204" s="150"/>
      <c r="K204" s="727">
        <f t="shared" ref="K204:M204" si="35">K205</f>
        <v>2826.1120000000001</v>
      </c>
      <c r="L204" s="166">
        <f t="shared" ref="L204:L210" si="36">M204-K204</f>
        <v>501</v>
      </c>
      <c r="M204" s="727">
        <f t="shared" si="35"/>
        <v>3327.1120000000001</v>
      </c>
    </row>
    <row r="205" spans="1:13" s="392" customFormat="1" ht="37.5">
      <c r="A205" s="151"/>
      <c r="B205" s="168" t="s">
        <v>926</v>
      </c>
      <c r="C205" s="165" t="s">
        <v>3</v>
      </c>
      <c r="D205" s="150" t="s">
        <v>109</v>
      </c>
      <c r="E205" s="150" t="s">
        <v>84</v>
      </c>
      <c r="F205" s="744"/>
      <c r="G205" s="745"/>
      <c r="H205" s="745"/>
      <c r="I205" s="746"/>
      <c r="J205" s="150"/>
      <c r="K205" s="727">
        <f>K206</f>
        <v>2826.1120000000001</v>
      </c>
      <c r="L205" s="166">
        <f t="shared" si="36"/>
        <v>501</v>
      </c>
      <c r="M205" s="727">
        <f>M206</f>
        <v>3327.1120000000001</v>
      </c>
    </row>
    <row r="206" spans="1:13" s="392" customFormat="1" ht="112.5">
      <c r="A206" s="151"/>
      <c r="B206" s="164" t="s">
        <v>931</v>
      </c>
      <c r="C206" s="165" t="s">
        <v>3</v>
      </c>
      <c r="D206" s="150" t="s">
        <v>109</v>
      </c>
      <c r="E206" s="150" t="s">
        <v>84</v>
      </c>
      <c r="F206" s="744" t="s">
        <v>927</v>
      </c>
      <c r="G206" s="745" t="s">
        <v>62</v>
      </c>
      <c r="H206" s="745" t="s">
        <v>63</v>
      </c>
      <c r="I206" s="746" t="s">
        <v>64</v>
      </c>
      <c r="J206" s="150"/>
      <c r="K206" s="727">
        <f>K207</f>
        <v>2826.1120000000001</v>
      </c>
      <c r="L206" s="166">
        <f t="shared" si="36"/>
        <v>501</v>
      </c>
      <c r="M206" s="727">
        <f>M207</f>
        <v>3327.1120000000001</v>
      </c>
    </row>
    <row r="207" spans="1:13" s="392" customFormat="1" ht="112.5">
      <c r="A207" s="151"/>
      <c r="B207" s="164" t="s">
        <v>928</v>
      </c>
      <c r="C207" s="165" t="s">
        <v>3</v>
      </c>
      <c r="D207" s="150" t="s">
        <v>109</v>
      </c>
      <c r="E207" s="150" t="s">
        <v>84</v>
      </c>
      <c r="F207" s="744" t="s">
        <v>927</v>
      </c>
      <c r="G207" s="745" t="s">
        <v>110</v>
      </c>
      <c r="H207" s="745" t="s">
        <v>63</v>
      </c>
      <c r="I207" s="746" t="s">
        <v>64</v>
      </c>
      <c r="J207" s="150"/>
      <c r="K207" s="728">
        <f>K208+K211+K214+K217</f>
        <v>2826.1120000000001</v>
      </c>
      <c r="L207" s="727">
        <f>L208+L211+L214+L217+L220+L223</f>
        <v>501</v>
      </c>
      <c r="M207" s="727">
        <f>M208+M211+M214+M217+M220+M223</f>
        <v>3327.1120000000001</v>
      </c>
    </row>
    <row r="208" spans="1:13" s="392" customFormat="1" ht="93.75">
      <c r="A208" s="151"/>
      <c r="B208" s="168" t="s">
        <v>929</v>
      </c>
      <c r="C208" s="165" t="s">
        <v>3</v>
      </c>
      <c r="D208" s="150" t="s">
        <v>109</v>
      </c>
      <c r="E208" s="150" t="s">
        <v>84</v>
      </c>
      <c r="F208" s="744" t="s">
        <v>927</v>
      </c>
      <c r="G208" s="745" t="s">
        <v>110</v>
      </c>
      <c r="H208" s="745" t="s">
        <v>57</v>
      </c>
      <c r="I208" s="746" t="s">
        <v>64</v>
      </c>
      <c r="J208" s="150"/>
      <c r="K208" s="727">
        <f t="shared" ref="K208:M209" si="37">K209</f>
        <v>1747.2239999999999</v>
      </c>
      <c r="L208" s="166">
        <f t="shared" si="36"/>
        <v>0</v>
      </c>
      <c r="M208" s="727">
        <f t="shared" si="37"/>
        <v>1747.2239999999999</v>
      </c>
    </row>
    <row r="209" spans="1:13" s="392" customFormat="1" ht="93.75">
      <c r="A209" s="151"/>
      <c r="B209" s="168" t="s">
        <v>930</v>
      </c>
      <c r="C209" s="165" t="s">
        <v>3</v>
      </c>
      <c r="D209" s="150" t="s">
        <v>109</v>
      </c>
      <c r="E209" s="150" t="s">
        <v>84</v>
      </c>
      <c r="F209" s="744" t="s">
        <v>927</v>
      </c>
      <c r="G209" s="745" t="s">
        <v>110</v>
      </c>
      <c r="H209" s="745" t="s">
        <v>57</v>
      </c>
      <c r="I209" s="746" t="s">
        <v>932</v>
      </c>
      <c r="J209" s="150"/>
      <c r="K209" s="727">
        <f t="shared" si="37"/>
        <v>1747.2239999999999</v>
      </c>
      <c r="L209" s="166">
        <f t="shared" si="36"/>
        <v>0</v>
      </c>
      <c r="M209" s="727">
        <f t="shared" si="37"/>
        <v>1747.2239999999999</v>
      </c>
    </row>
    <row r="210" spans="1:13" s="392" customFormat="1" ht="25.9" customHeight="1">
      <c r="A210" s="151"/>
      <c r="B210" s="164" t="s">
        <v>144</v>
      </c>
      <c r="C210" s="165" t="s">
        <v>3</v>
      </c>
      <c r="D210" s="150" t="s">
        <v>109</v>
      </c>
      <c r="E210" s="150" t="s">
        <v>84</v>
      </c>
      <c r="F210" s="744" t="s">
        <v>927</v>
      </c>
      <c r="G210" s="745" t="s">
        <v>110</v>
      </c>
      <c r="H210" s="745" t="s">
        <v>57</v>
      </c>
      <c r="I210" s="746" t="s">
        <v>932</v>
      </c>
      <c r="J210" s="150" t="s">
        <v>145</v>
      </c>
      <c r="K210" s="166">
        <v>1747.2239999999999</v>
      </c>
      <c r="L210" s="166">
        <f t="shared" si="36"/>
        <v>0</v>
      </c>
      <c r="M210" s="166">
        <v>1747.2239999999999</v>
      </c>
    </row>
    <row r="211" spans="1:13" s="392" customFormat="1" ht="75">
      <c r="A211" s="151"/>
      <c r="B211" s="164" t="s">
        <v>986</v>
      </c>
      <c r="C211" s="165" t="s">
        <v>3</v>
      </c>
      <c r="D211" s="150" t="s">
        <v>109</v>
      </c>
      <c r="E211" s="150" t="s">
        <v>84</v>
      </c>
      <c r="F211" s="744" t="s">
        <v>927</v>
      </c>
      <c r="G211" s="745" t="s">
        <v>110</v>
      </c>
      <c r="H211" s="745" t="s">
        <v>59</v>
      </c>
      <c r="I211" s="746" t="s">
        <v>64</v>
      </c>
      <c r="J211" s="150"/>
      <c r="K211" s="166">
        <f t="shared" ref="K211:M212" si="38">K212</f>
        <v>1078.8879999999999</v>
      </c>
      <c r="L211" s="166">
        <f t="shared" si="38"/>
        <v>0</v>
      </c>
      <c r="M211" s="166">
        <f t="shared" si="38"/>
        <v>1078.8879999999999</v>
      </c>
    </row>
    <row r="212" spans="1:13" s="392" customFormat="1" ht="93.75">
      <c r="A212" s="151"/>
      <c r="B212" s="164" t="s">
        <v>930</v>
      </c>
      <c r="C212" s="165" t="s">
        <v>3</v>
      </c>
      <c r="D212" s="150" t="s">
        <v>109</v>
      </c>
      <c r="E212" s="150" t="s">
        <v>84</v>
      </c>
      <c r="F212" s="744" t="s">
        <v>927</v>
      </c>
      <c r="G212" s="745" t="s">
        <v>110</v>
      </c>
      <c r="H212" s="745" t="s">
        <v>59</v>
      </c>
      <c r="I212" s="746" t="s">
        <v>932</v>
      </c>
      <c r="J212" s="150"/>
      <c r="K212" s="166">
        <f t="shared" si="38"/>
        <v>1078.8879999999999</v>
      </c>
      <c r="L212" s="166">
        <f>L213</f>
        <v>0</v>
      </c>
      <c r="M212" s="166">
        <f t="shared" si="38"/>
        <v>1078.8879999999999</v>
      </c>
    </row>
    <row r="213" spans="1:13" s="392" customFormat="1" ht="25.9" customHeight="1">
      <c r="A213" s="151"/>
      <c r="B213" s="164" t="s">
        <v>144</v>
      </c>
      <c r="C213" s="165" t="s">
        <v>3</v>
      </c>
      <c r="D213" s="150" t="s">
        <v>109</v>
      </c>
      <c r="E213" s="150" t="s">
        <v>84</v>
      </c>
      <c r="F213" s="744" t="s">
        <v>927</v>
      </c>
      <c r="G213" s="745" t="s">
        <v>110</v>
      </c>
      <c r="H213" s="745" t="s">
        <v>59</v>
      </c>
      <c r="I213" s="746" t="s">
        <v>932</v>
      </c>
      <c r="J213" s="150" t="s">
        <v>145</v>
      </c>
      <c r="K213" s="166">
        <v>1078.8879999999999</v>
      </c>
      <c r="L213" s="166">
        <f t="shared" ref="L213" si="39">M213-K213</f>
        <v>0</v>
      </c>
      <c r="M213" s="166">
        <v>1078.8879999999999</v>
      </c>
    </row>
    <row r="214" spans="1:13" s="392" customFormat="1" ht="131.25">
      <c r="A214" s="704"/>
      <c r="B214" s="705" t="s">
        <v>998</v>
      </c>
      <c r="C214" s="706" t="s">
        <v>3</v>
      </c>
      <c r="D214" s="707" t="s">
        <v>109</v>
      </c>
      <c r="E214" s="707" t="s">
        <v>84</v>
      </c>
      <c r="F214" s="708" t="s">
        <v>927</v>
      </c>
      <c r="G214" s="709" t="s">
        <v>110</v>
      </c>
      <c r="H214" s="709" t="s">
        <v>84</v>
      </c>
      <c r="I214" s="710" t="s">
        <v>64</v>
      </c>
      <c r="J214" s="707"/>
      <c r="K214" s="703">
        <f t="shared" ref="K214:M215" si="40">K215</f>
        <v>0</v>
      </c>
      <c r="L214" s="703">
        <f t="shared" si="40"/>
        <v>63</v>
      </c>
      <c r="M214" s="703">
        <f t="shared" si="40"/>
        <v>63</v>
      </c>
    </row>
    <row r="215" spans="1:13" s="392" customFormat="1" ht="93.75">
      <c r="A215" s="704"/>
      <c r="B215" s="705" t="s">
        <v>930</v>
      </c>
      <c r="C215" s="706" t="s">
        <v>3</v>
      </c>
      <c r="D215" s="707" t="s">
        <v>109</v>
      </c>
      <c r="E215" s="707" t="s">
        <v>84</v>
      </c>
      <c r="F215" s="708" t="s">
        <v>927</v>
      </c>
      <c r="G215" s="709" t="s">
        <v>110</v>
      </c>
      <c r="H215" s="709" t="s">
        <v>84</v>
      </c>
      <c r="I215" s="710" t="s">
        <v>932</v>
      </c>
      <c r="J215" s="707"/>
      <c r="K215" s="703">
        <f t="shared" si="40"/>
        <v>0</v>
      </c>
      <c r="L215" s="703">
        <f t="shared" si="40"/>
        <v>63</v>
      </c>
      <c r="M215" s="703">
        <f t="shared" si="40"/>
        <v>63</v>
      </c>
    </row>
    <row r="216" spans="1:13" s="392" customFormat="1" ht="25.9" customHeight="1">
      <c r="A216" s="704"/>
      <c r="B216" s="164" t="s">
        <v>144</v>
      </c>
      <c r="C216" s="706" t="s">
        <v>3</v>
      </c>
      <c r="D216" s="707" t="s">
        <v>109</v>
      </c>
      <c r="E216" s="707" t="s">
        <v>84</v>
      </c>
      <c r="F216" s="708" t="s">
        <v>927</v>
      </c>
      <c r="G216" s="709" t="s">
        <v>110</v>
      </c>
      <c r="H216" s="709" t="s">
        <v>84</v>
      </c>
      <c r="I216" s="710" t="s">
        <v>932</v>
      </c>
      <c r="J216" s="707" t="s">
        <v>145</v>
      </c>
      <c r="K216" s="703"/>
      <c r="L216" s="703">
        <f t="shared" ref="L216" si="41">M216-K216</f>
        <v>63</v>
      </c>
      <c r="M216" s="703">
        <v>63</v>
      </c>
    </row>
    <row r="217" spans="1:13" s="392" customFormat="1" ht="112.5">
      <c r="A217" s="704"/>
      <c r="B217" s="705" t="s">
        <v>999</v>
      </c>
      <c r="C217" s="706" t="s">
        <v>3</v>
      </c>
      <c r="D217" s="707" t="s">
        <v>109</v>
      </c>
      <c r="E217" s="707" t="s">
        <v>84</v>
      </c>
      <c r="F217" s="708" t="s">
        <v>927</v>
      </c>
      <c r="G217" s="709" t="s">
        <v>110</v>
      </c>
      <c r="H217" s="709" t="s">
        <v>72</v>
      </c>
      <c r="I217" s="710" t="s">
        <v>64</v>
      </c>
      <c r="J217" s="707"/>
      <c r="K217" s="703">
        <f t="shared" ref="K217:M218" si="42">K218</f>
        <v>0</v>
      </c>
      <c r="L217" s="703">
        <f t="shared" si="42"/>
        <v>202</v>
      </c>
      <c r="M217" s="703">
        <f t="shared" si="42"/>
        <v>202</v>
      </c>
    </row>
    <row r="218" spans="1:13" s="392" customFormat="1" ht="93.75">
      <c r="A218" s="704"/>
      <c r="B218" s="705" t="s">
        <v>930</v>
      </c>
      <c r="C218" s="706" t="s">
        <v>3</v>
      </c>
      <c r="D218" s="707" t="s">
        <v>109</v>
      </c>
      <c r="E218" s="707" t="s">
        <v>84</v>
      </c>
      <c r="F218" s="708" t="s">
        <v>927</v>
      </c>
      <c r="G218" s="709" t="s">
        <v>110</v>
      </c>
      <c r="H218" s="709" t="s">
        <v>72</v>
      </c>
      <c r="I218" s="710" t="s">
        <v>932</v>
      </c>
      <c r="J218" s="707"/>
      <c r="K218" s="703">
        <f t="shared" si="42"/>
        <v>0</v>
      </c>
      <c r="L218" s="703">
        <f t="shared" si="42"/>
        <v>202</v>
      </c>
      <c r="M218" s="703">
        <f t="shared" si="42"/>
        <v>202</v>
      </c>
    </row>
    <row r="219" spans="1:13" s="392" customFormat="1" ht="25.9" customHeight="1">
      <c r="A219" s="704"/>
      <c r="B219" s="705" t="s">
        <v>144</v>
      </c>
      <c r="C219" s="706" t="s">
        <v>3</v>
      </c>
      <c r="D219" s="707" t="s">
        <v>109</v>
      </c>
      <c r="E219" s="707" t="s">
        <v>84</v>
      </c>
      <c r="F219" s="708" t="s">
        <v>927</v>
      </c>
      <c r="G219" s="709" t="s">
        <v>110</v>
      </c>
      <c r="H219" s="709" t="s">
        <v>72</v>
      </c>
      <c r="I219" s="710" t="s">
        <v>932</v>
      </c>
      <c r="J219" s="707" t="s">
        <v>145</v>
      </c>
      <c r="K219" s="703"/>
      <c r="L219" s="703">
        <f t="shared" ref="L219:L225" si="43">M219-K219</f>
        <v>202</v>
      </c>
      <c r="M219" s="703">
        <v>202</v>
      </c>
    </row>
    <row r="220" spans="1:13" s="392" customFormat="1" ht="112.5">
      <c r="A220" s="704"/>
      <c r="B220" s="705" t="s">
        <v>1008</v>
      </c>
      <c r="C220" s="706" t="s">
        <v>3</v>
      </c>
      <c r="D220" s="707" t="s">
        <v>109</v>
      </c>
      <c r="E220" s="707" t="s">
        <v>84</v>
      </c>
      <c r="F220" s="708" t="s">
        <v>927</v>
      </c>
      <c r="G220" s="709" t="s">
        <v>110</v>
      </c>
      <c r="H220" s="709" t="s">
        <v>86</v>
      </c>
      <c r="I220" s="710" t="s">
        <v>64</v>
      </c>
      <c r="J220" s="707"/>
      <c r="K220" s="703"/>
      <c r="L220" s="703">
        <f>L221</f>
        <v>200</v>
      </c>
      <c r="M220" s="703">
        <f>M221</f>
        <v>200</v>
      </c>
    </row>
    <row r="221" spans="1:13" s="392" customFormat="1" ht="93.75">
      <c r="A221" s="151"/>
      <c r="B221" s="705" t="s">
        <v>930</v>
      </c>
      <c r="C221" s="706" t="s">
        <v>3</v>
      </c>
      <c r="D221" s="707" t="s">
        <v>109</v>
      </c>
      <c r="E221" s="707" t="s">
        <v>84</v>
      </c>
      <c r="F221" s="708" t="s">
        <v>927</v>
      </c>
      <c r="G221" s="709" t="s">
        <v>110</v>
      </c>
      <c r="H221" s="709" t="s">
        <v>86</v>
      </c>
      <c r="I221" s="710" t="s">
        <v>932</v>
      </c>
      <c r="J221" s="707"/>
      <c r="K221" s="703"/>
      <c r="L221" s="703">
        <f>L222</f>
        <v>200</v>
      </c>
      <c r="M221" s="703">
        <f>M222</f>
        <v>200</v>
      </c>
    </row>
    <row r="222" spans="1:13" s="392" customFormat="1" ht="25.9" customHeight="1">
      <c r="A222" s="151"/>
      <c r="B222" s="705" t="s">
        <v>144</v>
      </c>
      <c r="C222" s="706" t="s">
        <v>3</v>
      </c>
      <c r="D222" s="707" t="s">
        <v>109</v>
      </c>
      <c r="E222" s="707" t="s">
        <v>84</v>
      </c>
      <c r="F222" s="708" t="s">
        <v>927</v>
      </c>
      <c r="G222" s="709" t="s">
        <v>110</v>
      </c>
      <c r="H222" s="709" t="s">
        <v>86</v>
      </c>
      <c r="I222" s="710" t="s">
        <v>932</v>
      </c>
      <c r="J222" s="707" t="s">
        <v>145</v>
      </c>
      <c r="K222" s="703"/>
      <c r="L222" s="703">
        <f t="shared" si="43"/>
        <v>200</v>
      </c>
      <c r="M222" s="703">
        <v>200</v>
      </c>
    </row>
    <row r="223" spans="1:13" s="392" customFormat="1" ht="18.75">
      <c r="A223" s="151"/>
      <c r="B223" s="705" t="s">
        <v>1009</v>
      </c>
      <c r="C223" s="706" t="s">
        <v>3</v>
      </c>
      <c r="D223" s="707" t="s">
        <v>109</v>
      </c>
      <c r="E223" s="707" t="s">
        <v>84</v>
      </c>
      <c r="F223" s="708" t="s">
        <v>927</v>
      </c>
      <c r="G223" s="709" t="s">
        <v>110</v>
      </c>
      <c r="H223" s="709" t="s">
        <v>102</v>
      </c>
      <c r="I223" s="710" t="s">
        <v>64</v>
      </c>
      <c r="J223" s="707"/>
      <c r="K223" s="703"/>
      <c r="L223" s="703">
        <f>L224</f>
        <v>36</v>
      </c>
      <c r="M223" s="703">
        <f>M224</f>
        <v>36</v>
      </c>
    </row>
    <row r="224" spans="1:13" s="392" customFormat="1" ht="93.75">
      <c r="A224" s="151"/>
      <c r="B224" s="705" t="s">
        <v>1010</v>
      </c>
      <c r="C224" s="706" t="s">
        <v>3</v>
      </c>
      <c r="D224" s="707" t="s">
        <v>109</v>
      </c>
      <c r="E224" s="707" t="s">
        <v>84</v>
      </c>
      <c r="F224" s="708" t="s">
        <v>927</v>
      </c>
      <c r="G224" s="709" t="s">
        <v>110</v>
      </c>
      <c r="H224" s="709" t="s">
        <v>102</v>
      </c>
      <c r="I224" s="710" t="s">
        <v>932</v>
      </c>
      <c r="J224" s="707"/>
      <c r="K224" s="703"/>
      <c r="L224" s="703">
        <f>L225</f>
        <v>36</v>
      </c>
      <c r="M224" s="703">
        <f>M225</f>
        <v>36</v>
      </c>
    </row>
    <row r="225" spans="1:13" s="392" customFormat="1" ht="25.9" customHeight="1">
      <c r="A225" s="151"/>
      <c r="B225" s="705" t="s">
        <v>144</v>
      </c>
      <c r="C225" s="706" t="s">
        <v>3</v>
      </c>
      <c r="D225" s="707" t="s">
        <v>109</v>
      </c>
      <c r="E225" s="707" t="s">
        <v>84</v>
      </c>
      <c r="F225" s="708" t="s">
        <v>927</v>
      </c>
      <c r="G225" s="709" t="s">
        <v>110</v>
      </c>
      <c r="H225" s="709" t="s">
        <v>102</v>
      </c>
      <c r="I225" s="710" t="s">
        <v>932</v>
      </c>
      <c r="J225" s="707" t="s">
        <v>145</v>
      </c>
      <c r="K225" s="703"/>
      <c r="L225" s="703">
        <f t="shared" si="43"/>
        <v>36</v>
      </c>
      <c r="M225" s="703">
        <v>36</v>
      </c>
    </row>
    <row r="226" spans="1:13" ht="18.75" customHeight="1">
      <c r="A226" s="151"/>
      <c r="B226" s="164"/>
      <c r="C226" s="165"/>
      <c r="D226" s="150"/>
      <c r="E226" s="150"/>
      <c r="F226" s="744"/>
      <c r="G226" s="745"/>
      <c r="H226" s="745"/>
      <c r="I226" s="746"/>
      <c r="J226" s="150"/>
      <c r="K226" s="166"/>
      <c r="L226" s="729"/>
      <c r="M226" s="166"/>
    </row>
    <row r="227" spans="1:13" ht="56.25" customHeight="1">
      <c r="A227" s="391">
        <v>2</v>
      </c>
      <c r="B227" s="152" t="s">
        <v>10</v>
      </c>
      <c r="C227" s="159" t="s">
        <v>354</v>
      </c>
      <c r="D227" s="160"/>
      <c r="E227" s="160"/>
      <c r="F227" s="161"/>
      <c r="G227" s="162"/>
      <c r="H227" s="162"/>
      <c r="I227" s="163"/>
      <c r="J227" s="160"/>
      <c r="K227" s="189">
        <f>K228+K249</f>
        <v>62096.815999999992</v>
      </c>
      <c r="L227" s="189">
        <f>L228+L249</f>
        <v>-354.99999999999909</v>
      </c>
      <c r="M227" s="189">
        <f>M228+M249</f>
        <v>61741.815999999999</v>
      </c>
    </row>
    <row r="228" spans="1:13" s="396" customFormat="1" ht="18.75" customHeight="1">
      <c r="A228" s="151"/>
      <c r="B228" s="164" t="s">
        <v>56</v>
      </c>
      <c r="C228" s="165" t="s">
        <v>354</v>
      </c>
      <c r="D228" s="150" t="s">
        <v>57</v>
      </c>
      <c r="E228" s="150"/>
      <c r="F228" s="744"/>
      <c r="G228" s="745"/>
      <c r="H228" s="745"/>
      <c r="I228" s="746"/>
      <c r="J228" s="150"/>
      <c r="K228" s="166">
        <f>K229+K240</f>
        <v>27901.715999999997</v>
      </c>
      <c r="L228" s="166">
        <f>L229+L240</f>
        <v>220.80000000000018</v>
      </c>
      <c r="M228" s="166">
        <f>M229+M240</f>
        <v>28122.515999999996</v>
      </c>
    </row>
    <row r="229" spans="1:13" s="397" customFormat="1" ht="57.75" customHeight="1">
      <c r="A229" s="151"/>
      <c r="B229" s="164" t="s">
        <v>151</v>
      </c>
      <c r="C229" s="165" t="s">
        <v>354</v>
      </c>
      <c r="D229" s="150" t="s">
        <v>57</v>
      </c>
      <c r="E229" s="150" t="s">
        <v>102</v>
      </c>
      <c r="F229" s="744"/>
      <c r="G229" s="745"/>
      <c r="H229" s="745"/>
      <c r="I229" s="746"/>
      <c r="J229" s="150"/>
      <c r="K229" s="166">
        <f t="shared" ref="K229:M232" si="44">K230</f>
        <v>25040.515999999996</v>
      </c>
      <c r="L229" s="166">
        <f t="shared" si="44"/>
        <v>7.5</v>
      </c>
      <c r="M229" s="166">
        <f t="shared" si="44"/>
        <v>25048.015999999996</v>
      </c>
    </row>
    <row r="230" spans="1:13" s="392" customFormat="1" ht="59.25" customHeight="1">
      <c r="A230" s="151"/>
      <c r="B230" s="164" t="s">
        <v>245</v>
      </c>
      <c r="C230" s="165" t="s">
        <v>354</v>
      </c>
      <c r="D230" s="150" t="s">
        <v>57</v>
      </c>
      <c r="E230" s="150" t="s">
        <v>102</v>
      </c>
      <c r="F230" s="744" t="s">
        <v>246</v>
      </c>
      <c r="G230" s="745" t="s">
        <v>62</v>
      </c>
      <c r="H230" s="745" t="s">
        <v>63</v>
      </c>
      <c r="I230" s="746" t="s">
        <v>64</v>
      </c>
      <c r="J230" s="150"/>
      <c r="K230" s="166">
        <f t="shared" si="44"/>
        <v>25040.515999999996</v>
      </c>
      <c r="L230" s="166">
        <f t="shared" si="44"/>
        <v>7.5</v>
      </c>
      <c r="M230" s="166">
        <f t="shared" si="44"/>
        <v>25048.015999999996</v>
      </c>
    </row>
    <row r="231" spans="1:13" s="392" customFormat="1" ht="37.5" customHeight="1">
      <c r="A231" s="151"/>
      <c r="B231" s="164" t="s">
        <v>404</v>
      </c>
      <c r="C231" s="165" t="s">
        <v>354</v>
      </c>
      <c r="D231" s="150" t="s">
        <v>57</v>
      </c>
      <c r="E231" s="150" t="s">
        <v>102</v>
      </c>
      <c r="F231" s="172" t="s">
        <v>246</v>
      </c>
      <c r="G231" s="173" t="s">
        <v>65</v>
      </c>
      <c r="H231" s="745" t="s">
        <v>63</v>
      </c>
      <c r="I231" s="746" t="s">
        <v>64</v>
      </c>
      <c r="J231" s="150"/>
      <c r="K231" s="166">
        <f t="shared" ref="K231" si="45">K232+K237</f>
        <v>25040.515999999996</v>
      </c>
      <c r="L231" s="166">
        <f t="shared" ref="L231" si="46">L232+L237</f>
        <v>7.5</v>
      </c>
      <c r="M231" s="166">
        <f t="shared" ref="M231" si="47">M232+M237</f>
        <v>25048.015999999996</v>
      </c>
    </row>
    <row r="232" spans="1:13" s="392" customFormat="1" ht="56.25" customHeight="1">
      <c r="A232" s="151"/>
      <c r="B232" s="164" t="s">
        <v>355</v>
      </c>
      <c r="C232" s="165" t="s">
        <v>354</v>
      </c>
      <c r="D232" s="150" t="s">
        <v>57</v>
      </c>
      <c r="E232" s="150" t="s">
        <v>102</v>
      </c>
      <c r="F232" s="172" t="s">
        <v>246</v>
      </c>
      <c r="G232" s="173" t="s">
        <v>65</v>
      </c>
      <c r="H232" s="745" t="s">
        <v>57</v>
      </c>
      <c r="I232" s="746" t="s">
        <v>64</v>
      </c>
      <c r="J232" s="150"/>
      <c r="K232" s="166">
        <f t="shared" si="44"/>
        <v>24333.215999999997</v>
      </c>
      <c r="L232" s="166">
        <f t="shared" si="44"/>
        <v>7.5</v>
      </c>
      <c r="M232" s="166">
        <f t="shared" si="44"/>
        <v>24340.715999999997</v>
      </c>
    </row>
    <row r="233" spans="1:13" s="392" customFormat="1" ht="37.5" customHeight="1">
      <c r="A233" s="151"/>
      <c r="B233" s="164" t="s">
        <v>67</v>
      </c>
      <c r="C233" s="165" t="s">
        <v>354</v>
      </c>
      <c r="D233" s="150" t="s">
        <v>57</v>
      </c>
      <c r="E233" s="150" t="s">
        <v>102</v>
      </c>
      <c r="F233" s="172" t="s">
        <v>246</v>
      </c>
      <c r="G233" s="173" t="s">
        <v>65</v>
      </c>
      <c r="H233" s="745" t="s">
        <v>57</v>
      </c>
      <c r="I233" s="746" t="s">
        <v>68</v>
      </c>
      <c r="J233" s="150"/>
      <c r="K233" s="166">
        <f>SUM(K234:K236)</f>
        <v>24333.215999999997</v>
      </c>
      <c r="L233" s="166">
        <f>SUM(L234:L236)</f>
        <v>7.5</v>
      </c>
      <c r="M233" s="166">
        <f>SUM(M234:M236)</f>
        <v>24340.715999999997</v>
      </c>
    </row>
    <row r="234" spans="1:13" s="392" customFormat="1" ht="112.5" customHeight="1">
      <c r="A234" s="151"/>
      <c r="B234" s="164" t="s">
        <v>69</v>
      </c>
      <c r="C234" s="165" t="s">
        <v>354</v>
      </c>
      <c r="D234" s="150" t="s">
        <v>57</v>
      </c>
      <c r="E234" s="150" t="s">
        <v>102</v>
      </c>
      <c r="F234" s="172" t="s">
        <v>246</v>
      </c>
      <c r="G234" s="173" t="s">
        <v>65</v>
      </c>
      <c r="H234" s="745" t="s">
        <v>57</v>
      </c>
      <c r="I234" s="746" t="s">
        <v>68</v>
      </c>
      <c r="J234" s="150" t="s">
        <v>70</v>
      </c>
      <c r="K234" s="166">
        <f>22851.3+707.3</f>
        <v>23558.6</v>
      </c>
      <c r="L234" s="166">
        <f>M234-K234</f>
        <v>0</v>
      </c>
      <c r="M234" s="166">
        <f>22851.3+707.3</f>
        <v>23558.6</v>
      </c>
    </row>
    <row r="235" spans="1:13" s="392" customFormat="1" ht="56.25" customHeight="1">
      <c r="A235" s="151"/>
      <c r="B235" s="164" t="s">
        <v>75</v>
      </c>
      <c r="C235" s="165" t="s">
        <v>354</v>
      </c>
      <c r="D235" s="150" t="s">
        <v>57</v>
      </c>
      <c r="E235" s="150" t="s">
        <v>102</v>
      </c>
      <c r="F235" s="172" t="s">
        <v>246</v>
      </c>
      <c r="G235" s="173" t="s">
        <v>65</v>
      </c>
      <c r="H235" s="745" t="s">
        <v>57</v>
      </c>
      <c r="I235" s="746" t="s">
        <v>68</v>
      </c>
      <c r="J235" s="150" t="s">
        <v>76</v>
      </c>
      <c r="K235" s="166">
        <f>766.8+3.016</f>
        <v>769.81599999999992</v>
      </c>
      <c r="L235" s="166">
        <f>M235-K235</f>
        <v>7.5</v>
      </c>
      <c r="M235" s="764">
        <f>766.8+3.016+7.5</f>
        <v>777.31599999999992</v>
      </c>
    </row>
    <row r="236" spans="1:13" s="397" customFormat="1" ht="18.75" customHeight="1">
      <c r="A236" s="151"/>
      <c r="B236" s="164" t="s">
        <v>77</v>
      </c>
      <c r="C236" s="165" t="s">
        <v>354</v>
      </c>
      <c r="D236" s="150" t="s">
        <v>57</v>
      </c>
      <c r="E236" s="150" t="s">
        <v>102</v>
      </c>
      <c r="F236" s="172" t="s">
        <v>246</v>
      </c>
      <c r="G236" s="173" t="s">
        <v>65</v>
      </c>
      <c r="H236" s="745" t="s">
        <v>57</v>
      </c>
      <c r="I236" s="746" t="s">
        <v>68</v>
      </c>
      <c r="J236" s="150" t="s">
        <v>78</v>
      </c>
      <c r="K236" s="166">
        <v>4.8</v>
      </c>
      <c r="L236" s="166">
        <f>M236-K236</f>
        <v>0</v>
      </c>
      <c r="M236" s="166">
        <v>4.8</v>
      </c>
    </row>
    <row r="237" spans="1:13" s="397" customFormat="1" ht="58.5" customHeight="1">
      <c r="A237" s="151"/>
      <c r="B237" s="164" t="s">
        <v>387</v>
      </c>
      <c r="C237" s="165" t="s">
        <v>354</v>
      </c>
      <c r="D237" s="150" t="s">
        <v>57</v>
      </c>
      <c r="E237" s="150" t="s">
        <v>102</v>
      </c>
      <c r="F237" s="172" t="s">
        <v>246</v>
      </c>
      <c r="G237" s="173" t="s">
        <v>65</v>
      </c>
      <c r="H237" s="745" t="s">
        <v>72</v>
      </c>
      <c r="I237" s="746" t="s">
        <v>64</v>
      </c>
      <c r="J237" s="150"/>
      <c r="K237" s="166">
        <f t="shared" ref="K237:M238" si="48">K238</f>
        <v>707.3</v>
      </c>
      <c r="L237" s="166">
        <f t="shared" si="48"/>
        <v>0</v>
      </c>
      <c r="M237" s="166">
        <f t="shared" si="48"/>
        <v>707.3</v>
      </c>
    </row>
    <row r="238" spans="1:13" s="147" customFormat="1" ht="37.5" customHeight="1">
      <c r="A238" s="151"/>
      <c r="B238" s="164" t="s">
        <v>463</v>
      </c>
      <c r="C238" s="165" t="s">
        <v>354</v>
      </c>
      <c r="D238" s="150" t="s">
        <v>57</v>
      </c>
      <c r="E238" s="150" t="s">
        <v>102</v>
      </c>
      <c r="F238" s="172" t="s">
        <v>246</v>
      </c>
      <c r="G238" s="173" t="s">
        <v>65</v>
      </c>
      <c r="H238" s="745" t="s">
        <v>72</v>
      </c>
      <c r="I238" s="746" t="s">
        <v>462</v>
      </c>
      <c r="J238" s="150"/>
      <c r="K238" s="166">
        <f t="shared" si="48"/>
        <v>707.3</v>
      </c>
      <c r="L238" s="166">
        <f t="shared" si="48"/>
        <v>0</v>
      </c>
      <c r="M238" s="166">
        <f t="shared" si="48"/>
        <v>707.3</v>
      </c>
    </row>
    <row r="239" spans="1:13" s="147" customFormat="1" ht="113.25" customHeight="1">
      <c r="A239" s="151"/>
      <c r="B239" s="164" t="s">
        <v>69</v>
      </c>
      <c r="C239" s="165" t="s">
        <v>354</v>
      </c>
      <c r="D239" s="150" t="s">
        <v>57</v>
      </c>
      <c r="E239" s="150" t="s">
        <v>102</v>
      </c>
      <c r="F239" s="172" t="s">
        <v>246</v>
      </c>
      <c r="G239" s="173" t="s">
        <v>65</v>
      </c>
      <c r="H239" s="745" t="s">
        <v>72</v>
      </c>
      <c r="I239" s="746" t="s">
        <v>462</v>
      </c>
      <c r="J239" s="150" t="s">
        <v>70</v>
      </c>
      <c r="K239" s="166">
        <v>707.3</v>
      </c>
      <c r="L239" s="166">
        <f>M239-K239</f>
        <v>0</v>
      </c>
      <c r="M239" s="166">
        <v>707.3</v>
      </c>
    </row>
    <row r="240" spans="1:13" s="392" customFormat="1" ht="18.75" customHeight="1">
      <c r="A240" s="151"/>
      <c r="B240" s="164" t="s">
        <v>91</v>
      </c>
      <c r="C240" s="165" t="s">
        <v>354</v>
      </c>
      <c r="D240" s="150" t="s">
        <v>57</v>
      </c>
      <c r="E240" s="150" t="s">
        <v>92</v>
      </c>
      <c r="F240" s="172"/>
      <c r="G240" s="173"/>
      <c r="H240" s="745"/>
      <c r="I240" s="746"/>
      <c r="J240" s="150"/>
      <c r="K240" s="166">
        <f t="shared" ref="K240:M244" si="49">K241</f>
        <v>2861.2</v>
      </c>
      <c r="L240" s="166">
        <f t="shared" si="49"/>
        <v>213.30000000000018</v>
      </c>
      <c r="M240" s="166">
        <f t="shared" si="49"/>
        <v>3074.5</v>
      </c>
    </row>
    <row r="241" spans="1:13" s="392" customFormat="1" ht="60.75" customHeight="1">
      <c r="A241" s="151"/>
      <c r="B241" s="164" t="s">
        <v>245</v>
      </c>
      <c r="C241" s="165" t="s">
        <v>354</v>
      </c>
      <c r="D241" s="150" t="s">
        <v>57</v>
      </c>
      <c r="E241" s="150" t="s">
        <v>92</v>
      </c>
      <c r="F241" s="172" t="s">
        <v>246</v>
      </c>
      <c r="G241" s="173" t="s">
        <v>62</v>
      </c>
      <c r="H241" s="745" t="s">
        <v>63</v>
      </c>
      <c r="I241" s="746" t="s">
        <v>64</v>
      </c>
      <c r="J241" s="150"/>
      <c r="K241" s="166">
        <f t="shared" si="49"/>
        <v>2861.2</v>
      </c>
      <c r="L241" s="166">
        <f t="shared" si="49"/>
        <v>213.30000000000018</v>
      </c>
      <c r="M241" s="166">
        <f t="shared" si="49"/>
        <v>3074.5</v>
      </c>
    </row>
    <row r="242" spans="1:13" s="147" customFormat="1" ht="37.5" customHeight="1">
      <c r="A242" s="151"/>
      <c r="B242" s="164" t="s">
        <v>404</v>
      </c>
      <c r="C242" s="165" t="s">
        <v>354</v>
      </c>
      <c r="D242" s="150" t="s">
        <v>57</v>
      </c>
      <c r="E242" s="150" t="s">
        <v>92</v>
      </c>
      <c r="F242" s="172" t="s">
        <v>246</v>
      </c>
      <c r="G242" s="173" t="s">
        <v>65</v>
      </c>
      <c r="H242" s="745" t="s">
        <v>63</v>
      </c>
      <c r="I242" s="746" t="s">
        <v>64</v>
      </c>
      <c r="J242" s="150"/>
      <c r="K242" s="166">
        <f>K243+K246</f>
        <v>2861.2</v>
      </c>
      <c r="L242" s="166">
        <f>L243+L246</f>
        <v>213.30000000000018</v>
      </c>
      <c r="M242" s="166">
        <f>M243+M246</f>
        <v>3074.5</v>
      </c>
    </row>
    <row r="243" spans="1:13" s="392" customFormat="1" ht="37.5" customHeight="1">
      <c r="A243" s="151"/>
      <c r="B243" s="164" t="s">
        <v>428</v>
      </c>
      <c r="C243" s="165" t="s">
        <v>354</v>
      </c>
      <c r="D243" s="150" t="s">
        <v>57</v>
      </c>
      <c r="E243" s="150" t="s">
        <v>92</v>
      </c>
      <c r="F243" s="172" t="s">
        <v>246</v>
      </c>
      <c r="G243" s="173" t="s">
        <v>65</v>
      </c>
      <c r="H243" s="745" t="s">
        <v>84</v>
      </c>
      <c r="I243" s="746" t="s">
        <v>64</v>
      </c>
      <c r="J243" s="150"/>
      <c r="K243" s="166">
        <f>K244</f>
        <v>2843.2</v>
      </c>
      <c r="L243" s="166">
        <f>L244</f>
        <v>213.30000000000018</v>
      </c>
      <c r="M243" s="166">
        <f>M244</f>
        <v>3056.5</v>
      </c>
    </row>
    <row r="244" spans="1:13" s="397" customFormat="1" ht="60" customHeight="1">
      <c r="A244" s="151"/>
      <c r="B244" s="164" t="s">
        <v>429</v>
      </c>
      <c r="C244" s="165" t="s">
        <v>354</v>
      </c>
      <c r="D244" s="150" t="s">
        <v>57</v>
      </c>
      <c r="E244" s="150" t="s">
        <v>92</v>
      </c>
      <c r="F244" s="172" t="s">
        <v>246</v>
      </c>
      <c r="G244" s="173" t="s">
        <v>65</v>
      </c>
      <c r="H244" s="745" t="s">
        <v>84</v>
      </c>
      <c r="I244" s="746" t="s">
        <v>126</v>
      </c>
      <c r="J244" s="150"/>
      <c r="K244" s="166">
        <f t="shared" si="49"/>
        <v>2843.2</v>
      </c>
      <c r="L244" s="166">
        <f t="shared" si="49"/>
        <v>213.30000000000018</v>
      </c>
      <c r="M244" s="166">
        <f t="shared" si="49"/>
        <v>3056.5</v>
      </c>
    </row>
    <row r="245" spans="1:13" s="397" customFormat="1" ht="56.25" customHeight="1">
      <c r="A245" s="151"/>
      <c r="B245" s="164" t="s">
        <v>75</v>
      </c>
      <c r="C245" s="165" t="s">
        <v>354</v>
      </c>
      <c r="D245" s="150" t="s">
        <v>57</v>
      </c>
      <c r="E245" s="150" t="s">
        <v>92</v>
      </c>
      <c r="F245" s="172" t="s">
        <v>246</v>
      </c>
      <c r="G245" s="173" t="s">
        <v>65</v>
      </c>
      <c r="H245" s="745" t="s">
        <v>84</v>
      </c>
      <c r="I245" s="746" t="s">
        <v>126</v>
      </c>
      <c r="J245" s="150" t="s">
        <v>76</v>
      </c>
      <c r="K245" s="166">
        <v>2843.2</v>
      </c>
      <c r="L245" s="166">
        <f>M245-K245</f>
        <v>213.30000000000018</v>
      </c>
      <c r="M245" s="764">
        <f>2843.2+213.3</f>
        <v>3056.5</v>
      </c>
    </row>
    <row r="246" spans="1:13" s="397" customFormat="1" ht="33.75" customHeight="1">
      <c r="A246" s="151"/>
      <c r="B246" s="164" t="s">
        <v>804</v>
      </c>
      <c r="C246" s="165" t="s">
        <v>354</v>
      </c>
      <c r="D246" s="150" t="s">
        <v>57</v>
      </c>
      <c r="E246" s="150" t="s">
        <v>92</v>
      </c>
      <c r="F246" s="172" t="s">
        <v>246</v>
      </c>
      <c r="G246" s="173" t="s">
        <v>65</v>
      </c>
      <c r="H246" s="745" t="s">
        <v>86</v>
      </c>
      <c r="I246" s="746" t="s">
        <v>64</v>
      </c>
      <c r="J246" s="150"/>
      <c r="K246" s="166">
        <f t="shared" ref="K246:M247" si="50">K247</f>
        <v>18</v>
      </c>
      <c r="L246" s="166">
        <f t="shared" si="50"/>
        <v>0</v>
      </c>
      <c r="M246" s="166">
        <f t="shared" si="50"/>
        <v>18</v>
      </c>
    </row>
    <row r="247" spans="1:13" s="397" customFormat="1" ht="27" customHeight="1">
      <c r="A247" s="151"/>
      <c r="B247" s="164" t="s">
        <v>802</v>
      </c>
      <c r="C247" s="165" t="s">
        <v>354</v>
      </c>
      <c r="D247" s="150" t="s">
        <v>57</v>
      </c>
      <c r="E247" s="150" t="s">
        <v>92</v>
      </c>
      <c r="F247" s="172" t="s">
        <v>246</v>
      </c>
      <c r="G247" s="173" t="s">
        <v>65</v>
      </c>
      <c r="H247" s="745" t="s">
        <v>86</v>
      </c>
      <c r="I247" s="746" t="s">
        <v>803</v>
      </c>
      <c r="J247" s="150"/>
      <c r="K247" s="166">
        <f t="shared" si="50"/>
        <v>18</v>
      </c>
      <c r="L247" s="166">
        <f t="shared" si="50"/>
        <v>0</v>
      </c>
      <c r="M247" s="166">
        <f t="shared" si="50"/>
        <v>18</v>
      </c>
    </row>
    <row r="248" spans="1:13" s="397" customFormat="1" ht="56.25" customHeight="1">
      <c r="A248" s="151"/>
      <c r="B248" s="164" t="s">
        <v>75</v>
      </c>
      <c r="C248" s="165" t="s">
        <v>354</v>
      </c>
      <c r="D248" s="150" t="s">
        <v>57</v>
      </c>
      <c r="E248" s="150" t="s">
        <v>92</v>
      </c>
      <c r="F248" s="172" t="s">
        <v>246</v>
      </c>
      <c r="G248" s="173" t="s">
        <v>65</v>
      </c>
      <c r="H248" s="745" t="s">
        <v>86</v>
      </c>
      <c r="I248" s="746" t="s">
        <v>803</v>
      </c>
      <c r="J248" s="150" t="s">
        <v>76</v>
      </c>
      <c r="K248" s="166">
        <v>18</v>
      </c>
      <c r="L248" s="166">
        <f>M248-K248</f>
        <v>0</v>
      </c>
      <c r="M248" s="166">
        <v>18</v>
      </c>
    </row>
    <row r="249" spans="1:13" s="397" customFormat="1" ht="56.25" customHeight="1">
      <c r="A249" s="151"/>
      <c r="B249" s="164" t="s">
        <v>222</v>
      </c>
      <c r="C249" s="165" t="s">
        <v>354</v>
      </c>
      <c r="D249" s="150" t="s">
        <v>109</v>
      </c>
      <c r="E249" s="150"/>
      <c r="F249" s="172"/>
      <c r="G249" s="173"/>
      <c r="H249" s="745"/>
      <c r="I249" s="746"/>
      <c r="J249" s="150"/>
      <c r="K249" s="166">
        <f>K250+K256</f>
        <v>34195.1</v>
      </c>
      <c r="L249" s="166">
        <f>L250+L256</f>
        <v>-575.79999999999927</v>
      </c>
      <c r="M249" s="166">
        <f>M250+M256</f>
        <v>33619.300000000003</v>
      </c>
    </row>
    <row r="250" spans="1:13" s="397" customFormat="1" ht="56.25" customHeight="1">
      <c r="A250" s="151"/>
      <c r="B250" s="170" t="s">
        <v>223</v>
      </c>
      <c r="C250" s="165" t="s">
        <v>354</v>
      </c>
      <c r="D250" s="150" t="s">
        <v>109</v>
      </c>
      <c r="E250" s="150" t="s">
        <v>57</v>
      </c>
      <c r="F250" s="172"/>
      <c r="G250" s="173"/>
      <c r="H250" s="745"/>
      <c r="I250" s="746"/>
      <c r="J250" s="150"/>
      <c r="K250" s="166">
        <f t="shared" ref="K250:M252" si="51">K251</f>
        <v>5500</v>
      </c>
      <c r="L250" s="166">
        <f t="shared" si="51"/>
        <v>0</v>
      </c>
      <c r="M250" s="166">
        <f t="shared" si="51"/>
        <v>5500</v>
      </c>
    </row>
    <row r="251" spans="1:13" s="397" customFormat="1" ht="60.75" customHeight="1">
      <c r="A251" s="151"/>
      <c r="B251" s="164" t="s">
        <v>245</v>
      </c>
      <c r="C251" s="165" t="s">
        <v>354</v>
      </c>
      <c r="D251" s="150" t="s">
        <v>109</v>
      </c>
      <c r="E251" s="150" t="s">
        <v>57</v>
      </c>
      <c r="F251" s="172" t="s">
        <v>246</v>
      </c>
      <c r="G251" s="173" t="s">
        <v>62</v>
      </c>
      <c r="H251" s="745" t="s">
        <v>63</v>
      </c>
      <c r="I251" s="746" t="s">
        <v>64</v>
      </c>
      <c r="J251" s="150"/>
      <c r="K251" s="166">
        <f t="shared" si="51"/>
        <v>5500</v>
      </c>
      <c r="L251" s="166">
        <f t="shared" si="51"/>
        <v>0</v>
      </c>
      <c r="M251" s="166">
        <f t="shared" si="51"/>
        <v>5500</v>
      </c>
    </row>
    <row r="252" spans="1:13" s="397" customFormat="1" ht="37.5" customHeight="1">
      <c r="A252" s="151"/>
      <c r="B252" s="164" t="s">
        <v>404</v>
      </c>
      <c r="C252" s="165" t="s">
        <v>354</v>
      </c>
      <c r="D252" s="150" t="s">
        <v>109</v>
      </c>
      <c r="E252" s="150" t="s">
        <v>57</v>
      </c>
      <c r="F252" s="172" t="s">
        <v>246</v>
      </c>
      <c r="G252" s="173" t="s">
        <v>65</v>
      </c>
      <c r="H252" s="745" t="s">
        <v>63</v>
      </c>
      <c r="I252" s="746" t="s">
        <v>64</v>
      </c>
      <c r="J252" s="150"/>
      <c r="K252" s="166">
        <f t="shared" si="51"/>
        <v>5500</v>
      </c>
      <c r="L252" s="166">
        <f t="shared" si="51"/>
        <v>0</v>
      </c>
      <c r="M252" s="166">
        <f t="shared" si="51"/>
        <v>5500</v>
      </c>
    </row>
    <row r="253" spans="1:13" s="397" customFormat="1" ht="37.5" customHeight="1">
      <c r="A253" s="151"/>
      <c r="B253" s="164" t="s">
        <v>356</v>
      </c>
      <c r="C253" s="165" t="s">
        <v>354</v>
      </c>
      <c r="D253" s="150" t="s">
        <v>109</v>
      </c>
      <c r="E253" s="150" t="s">
        <v>57</v>
      </c>
      <c r="F253" s="172" t="s">
        <v>246</v>
      </c>
      <c r="G253" s="173" t="s">
        <v>65</v>
      </c>
      <c r="H253" s="745" t="s">
        <v>59</v>
      </c>
      <c r="I253" s="746" t="s">
        <v>64</v>
      </c>
      <c r="J253" s="150"/>
      <c r="K253" s="166">
        <f>K254</f>
        <v>5500</v>
      </c>
      <c r="L253" s="166">
        <f>L254</f>
        <v>0</v>
      </c>
      <c r="M253" s="166">
        <f>M254</f>
        <v>5500</v>
      </c>
    </row>
    <row r="254" spans="1:13" s="397" customFormat="1" ht="37.5" customHeight="1">
      <c r="A254" s="151"/>
      <c r="B254" s="164" t="s">
        <v>298</v>
      </c>
      <c r="C254" s="165" t="s">
        <v>354</v>
      </c>
      <c r="D254" s="150" t="s">
        <v>109</v>
      </c>
      <c r="E254" s="150" t="s">
        <v>57</v>
      </c>
      <c r="F254" s="172" t="s">
        <v>246</v>
      </c>
      <c r="G254" s="173" t="s">
        <v>65</v>
      </c>
      <c r="H254" s="745" t="s">
        <v>59</v>
      </c>
      <c r="I254" s="746" t="s">
        <v>578</v>
      </c>
      <c r="J254" s="150"/>
      <c r="K254" s="166">
        <f t="shared" ref="K254:M254" si="52">K255</f>
        <v>5500</v>
      </c>
      <c r="L254" s="166">
        <f t="shared" si="52"/>
        <v>0</v>
      </c>
      <c r="M254" s="166">
        <f t="shared" si="52"/>
        <v>5500</v>
      </c>
    </row>
    <row r="255" spans="1:13" s="397" customFormat="1" ht="18.75" customHeight="1">
      <c r="A255" s="151"/>
      <c r="B255" s="164" t="s">
        <v>144</v>
      </c>
      <c r="C255" s="165" t="s">
        <v>354</v>
      </c>
      <c r="D255" s="150" t="s">
        <v>109</v>
      </c>
      <c r="E255" s="150" t="s">
        <v>57</v>
      </c>
      <c r="F255" s="172" t="s">
        <v>246</v>
      </c>
      <c r="G255" s="173" t="s">
        <v>65</v>
      </c>
      <c r="H255" s="745" t="s">
        <v>59</v>
      </c>
      <c r="I255" s="746" t="s">
        <v>578</v>
      </c>
      <c r="J255" s="150" t="s">
        <v>145</v>
      </c>
      <c r="K255" s="166">
        <v>5500</v>
      </c>
      <c r="L255" s="166">
        <f>M255-K255</f>
        <v>0</v>
      </c>
      <c r="M255" s="166">
        <v>5500</v>
      </c>
    </row>
    <row r="256" spans="1:13" s="397" customFormat="1" ht="37.5">
      <c r="A256" s="151"/>
      <c r="B256" s="164" t="s">
        <v>926</v>
      </c>
      <c r="C256" s="165" t="s">
        <v>354</v>
      </c>
      <c r="D256" s="150" t="s">
        <v>109</v>
      </c>
      <c r="E256" s="150" t="s">
        <v>84</v>
      </c>
      <c r="F256" s="172"/>
      <c r="G256" s="173"/>
      <c r="H256" s="745"/>
      <c r="I256" s="746"/>
      <c r="J256" s="150"/>
      <c r="K256" s="166">
        <f t="shared" ref="K256:M260" si="53">K257</f>
        <v>28695.1</v>
      </c>
      <c r="L256" s="166">
        <f t="shared" si="53"/>
        <v>-575.79999999999927</v>
      </c>
      <c r="M256" s="166">
        <f t="shared" si="53"/>
        <v>28119.3</v>
      </c>
    </row>
    <row r="257" spans="1:13" s="397" customFormat="1" ht="60" customHeight="1">
      <c r="A257" s="151"/>
      <c r="B257" s="164" t="s">
        <v>245</v>
      </c>
      <c r="C257" s="165" t="s">
        <v>354</v>
      </c>
      <c r="D257" s="150" t="s">
        <v>109</v>
      </c>
      <c r="E257" s="150" t="s">
        <v>84</v>
      </c>
      <c r="F257" s="172" t="s">
        <v>246</v>
      </c>
      <c r="G257" s="173" t="s">
        <v>62</v>
      </c>
      <c r="H257" s="745" t="s">
        <v>63</v>
      </c>
      <c r="I257" s="746" t="s">
        <v>64</v>
      </c>
      <c r="J257" s="150"/>
      <c r="K257" s="166">
        <f t="shared" si="53"/>
        <v>28695.1</v>
      </c>
      <c r="L257" s="166">
        <f t="shared" si="53"/>
        <v>-575.79999999999927</v>
      </c>
      <c r="M257" s="166">
        <f t="shared" si="53"/>
        <v>28119.3</v>
      </c>
    </row>
    <row r="258" spans="1:13" s="397" customFormat="1" ht="37.5">
      <c r="A258" s="151"/>
      <c r="B258" s="164" t="s">
        <v>404</v>
      </c>
      <c r="C258" s="165" t="s">
        <v>354</v>
      </c>
      <c r="D258" s="150" t="s">
        <v>109</v>
      </c>
      <c r="E258" s="150" t="s">
        <v>84</v>
      </c>
      <c r="F258" s="172" t="s">
        <v>246</v>
      </c>
      <c r="G258" s="173" t="s">
        <v>65</v>
      </c>
      <c r="H258" s="745" t="s">
        <v>63</v>
      </c>
      <c r="I258" s="746" t="s">
        <v>64</v>
      </c>
      <c r="J258" s="150"/>
      <c r="K258" s="166">
        <f t="shared" si="53"/>
        <v>28695.1</v>
      </c>
      <c r="L258" s="166">
        <f t="shared" si="53"/>
        <v>-575.79999999999927</v>
      </c>
      <c r="M258" s="166">
        <f t="shared" si="53"/>
        <v>28119.3</v>
      </c>
    </row>
    <row r="259" spans="1:13" s="397" customFormat="1" ht="37.5">
      <c r="A259" s="151"/>
      <c r="B259" s="164" t="s">
        <v>356</v>
      </c>
      <c r="C259" s="165" t="s">
        <v>354</v>
      </c>
      <c r="D259" s="150" t="s">
        <v>109</v>
      </c>
      <c r="E259" s="150" t="s">
        <v>84</v>
      </c>
      <c r="F259" s="172" t="s">
        <v>246</v>
      </c>
      <c r="G259" s="173" t="s">
        <v>65</v>
      </c>
      <c r="H259" s="745" t="s">
        <v>59</v>
      </c>
      <c r="I259" s="746" t="s">
        <v>64</v>
      </c>
      <c r="J259" s="150"/>
      <c r="K259" s="166">
        <f t="shared" si="53"/>
        <v>28695.1</v>
      </c>
      <c r="L259" s="166">
        <f t="shared" si="53"/>
        <v>-575.79999999999927</v>
      </c>
      <c r="M259" s="166">
        <f t="shared" si="53"/>
        <v>28119.3</v>
      </c>
    </row>
    <row r="260" spans="1:13" s="397" customFormat="1" ht="37.5">
      <c r="A260" s="151"/>
      <c r="B260" s="164" t="s">
        <v>809</v>
      </c>
      <c r="C260" s="165" t="s">
        <v>354</v>
      </c>
      <c r="D260" s="150" t="s">
        <v>109</v>
      </c>
      <c r="E260" s="150" t="s">
        <v>84</v>
      </c>
      <c r="F260" s="172" t="s">
        <v>246</v>
      </c>
      <c r="G260" s="173" t="s">
        <v>65</v>
      </c>
      <c r="H260" s="745" t="s">
        <v>59</v>
      </c>
      <c r="I260" s="746" t="s">
        <v>810</v>
      </c>
      <c r="J260" s="150"/>
      <c r="K260" s="166">
        <f t="shared" si="53"/>
        <v>28695.1</v>
      </c>
      <c r="L260" s="166">
        <f t="shared" si="53"/>
        <v>-575.79999999999927</v>
      </c>
      <c r="M260" s="166">
        <f t="shared" si="53"/>
        <v>28119.3</v>
      </c>
    </row>
    <row r="261" spans="1:13" s="397" customFormat="1" ht="18.75">
      <c r="A261" s="151"/>
      <c r="B261" s="164" t="s">
        <v>144</v>
      </c>
      <c r="C261" s="165" t="s">
        <v>354</v>
      </c>
      <c r="D261" s="150" t="s">
        <v>109</v>
      </c>
      <c r="E261" s="150" t="s">
        <v>84</v>
      </c>
      <c r="F261" s="172" t="s">
        <v>246</v>
      </c>
      <c r="G261" s="173" t="s">
        <v>65</v>
      </c>
      <c r="H261" s="745" t="s">
        <v>59</v>
      </c>
      <c r="I261" s="746" t="s">
        <v>810</v>
      </c>
      <c r="J261" s="150" t="s">
        <v>145</v>
      </c>
      <c r="K261" s="166">
        <f>39766.8-707.3-10364.4</f>
        <v>28695.1</v>
      </c>
      <c r="L261" s="166">
        <f>M261-K261</f>
        <v>-575.79999999999927</v>
      </c>
      <c r="M261" s="807">
        <f>39766.8-707.3-10364.4-220.8-55-300</f>
        <v>28119.3</v>
      </c>
    </row>
    <row r="262" spans="1:13" s="397" customFormat="1" ht="18.75" customHeight="1">
      <c r="A262" s="151"/>
      <c r="B262" s="164"/>
      <c r="C262" s="165"/>
      <c r="D262" s="150"/>
      <c r="E262" s="150"/>
      <c r="F262" s="172"/>
      <c r="G262" s="173"/>
      <c r="H262" s="745"/>
      <c r="I262" s="746"/>
      <c r="J262" s="150"/>
      <c r="K262" s="166"/>
      <c r="L262" s="729"/>
      <c r="M262" s="166"/>
    </row>
    <row r="263" spans="1:13" s="398" customFormat="1" ht="56.25">
      <c r="A263" s="391">
        <v>3</v>
      </c>
      <c r="B263" s="158" t="s">
        <v>55</v>
      </c>
      <c r="C263" s="159" t="s">
        <v>150</v>
      </c>
      <c r="D263" s="160"/>
      <c r="E263" s="160"/>
      <c r="F263" s="161"/>
      <c r="G263" s="162"/>
      <c r="H263" s="162"/>
      <c r="I263" s="163"/>
      <c r="J263" s="160"/>
      <c r="K263" s="189">
        <f t="shared" ref="K263:M266" si="54">K264</f>
        <v>4258.2</v>
      </c>
      <c r="L263" s="189">
        <f t="shared" si="54"/>
        <v>0</v>
      </c>
      <c r="M263" s="189">
        <f t="shared" si="54"/>
        <v>4258.2</v>
      </c>
    </row>
    <row r="264" spans="1:13" s="398" customFormat="1" ht="18.75" customHeight="1">
      <c r="A264" s="151"/>
      <c r="B264" s="164" t="s">
        <v>56</v>
      </c>
      <c r="C264" s="165" t="s">
        <v>150</v>
      </c>
      <c r="D264" s="150" t="s">
        <v>57</v>
      </c>
      <c r="E264" s="150"/>
      <c r="F264" s="744"/>
      <c r="G264" s="745"/>
      <c r="H264" s="745"/>
      <c r="I264" s="746"/>
      <c r="J264" s="150"/>
      <c r="K264" s="166">
        <f t="shared" si="54"/>
        <v>4258.2</v>
      </c>
      <c r="L264" s="166">
        <f t="shared" si="54"/>
        <v>0</v>
      </c>
      <c r="M264" s="166">
        <f t="shared" si="54"/>
        <v>4258.2</v>
      </c>
    </row>
    <row r="265" spans="1:13" s="398" customFormat="1" ht="75" customHeight="1">
      <c r="A265" s="151"/>
      <c r="B265" s="164" t="s">
        <v>151</v>
      </c>
      <c r="C265" s="165" t="s">
        <v>150</v>
      </c>
      <c r="D265" s="150" t="s">
        <v>57</v>
      </c>
      <c r="E265" s="150" t="s">
        <v>102</v>
      </c>
      <c r="F265" s="744"/>
      <c r="G265" s="745"/>
      <c r="H265" s="745"/>
      <c r="I265" s="746"/>
      <c r="J265" s="150"/>
      <c r="K265" s="166">
        <f t="shared" si="54"/>
        <v>4258.2</v>
      </c>
      <c r="L265" s="166">
        <f t="shared" si="54"/>
        <v>0</v>
      </c>
      <c r="M265" s="166">
        <f t="shared" si="54"/>
        <v>4258.2</v>
      </c>
    </row>
    <row r="266" spans="1:13" s="398" customFormat="1" ht="39" customHeight="1">
      <c r="A266" s="151"/>
      <c r="B266" s="167" t="s">
        <v>152</v>
      </c>
      <c r="C266" s="165" t="s">
        <v>150</v>
      </c>
      <c r="D266" s="150" t="s">
        <v>57</v>
      </c>
      <c r="E266" s="150" t="s">
        <v>102</v>
      </c>
      <c r="F266" s="744" t="s">
        <v>153</v>
      </c>
      <c r="G266" s="745" t="s">
        <v>62</v>
      </c>
      <c r="H266" s="745" t="s">
        <v>63</v>
      </c>
      <c r="I266" s="746" t="s">
        <v>64</v>
      </c>
      <c r="J266" s="150"/>
      <c r="K266" s="166">
        <f t="shared" si="54"/>
        <v>4258.2</v>
      </c>
      <c r="L266" s="166">
        <f t="shared" si="54"/>
        <v>0</v>
      </c>
      <c r="M266" s="166">
        <f t="shared" si="54"/>
        <v>4258.2</v>
      </c>
    </row>
    <row r="267" spans="1:13" s="398" customFormat="1" ht="41.25" customHeight="1">
      <c r="A267" s="151"/>
      <c r="B267" s="167" t="s">
        <v>154</v>
      </c>
      <c r="C267" s="165" t="s">
        <v>150</v>
      </c>
      <c r="D267" s="150" t="s">
        <v>57</v>
      </c>
      <c r="E267" s="150" t="s">
        <v>102</v>
      </c>
      <c r="F267" s="744" t="s">
        <v>153</v>
      </c>
      <c r="G267" s="745" t="s">
        <v>65</v>
      </c>
      <c r="H267" s="745" t="s">
        <v>63</v>
      </c>
      <c r="I267" s="746" t="s">
        <v>64</v>
      </c>
      <c r="J267" s="150"/>
      <c r="K267" s="166">
        <f>K268+K272</f>
        <v>4258.2</v>
      </c>
      <c r="L267" s="166">
        <f>L268+L272</f>
        <v>0</v>
      </c>
      <c r="M267" s="166">
        <f>M268+M272</f>
        <v>4258.2</v>
      </c>
    </row>
    <row r="268" spans="1:13" s="398" customFormat="1" ht="37.5" customHeight="1">
      <c r="A268" s="151"/>
      <c r="B268" s="164" t="s">
        <v>67</v>
      </c>
      <c r="C268" s="165" t="s">
        <v>150</v>
      </c>
      <c r="D268" s="150" t="s">
        <v>57</v>
      </c>
      <c r="E268" s="150" t="s">
        <v>102</v>
      </c>
      <c r="F268" s="744" t="s">
        <v>153</v>
      </c>
      <c r="G268" s="745" t="s">
        <v>65</v>
      </c>
      <c r="H268" s="745" t="s">
        <v>63</v>
      </c>
      <c r="I268" s="746" t="s">
        <v>68</v>
      </c>
      <c r="J268" s="150"/>
      <c r="K268" s="166">
        <f>K269+K270+K271</f>
        <v>3343.9</v>
      </c>
      <c r="L268" s="166">
        <f>L269+L270+L271</f>
        <v>0</v>
      </c>
      <c r="M268" s="166">
        <f>M269+M270+M271</f>
        <v>3343.9</v>
      </c>
    </row>
    <row r="269" spans="1:13" s="398" customFormat="1" ht="112.5" customHeight="1">
      <c r="A269" s="151"/>
      <c r="B269" s="167" t="s">
        <v>69</v>
      </c>
      <c r="C269" s="165" t="s">
        <v>150</v>
      </c>
      <c r="D269" s="150" t="s">
        <v>57</v>
      </c>
      <c r="E269" s="150" t="s">
        <v>102</v>
      </c>
      <c r="F269" s="744" t="s">
        <v>153</v>
      </c>
      <c r="G269" s="745" t="s">
        <v>65</v>
      </c>
      <c r="H269" s="745" t="s">
        <v>63</v>
      </c>
      <c r="I269" s="746" t="s">
        <v>68</v>
      </c>
      <c r="J269" s="150" t="s">
        <v>70</v>
      </c>
      <c r="K269" s="166">
        <v>3098.4</v>
      </c>
      <c r="L269" s="166">
        <f>M269-K269</f>
        <v>0</v>
      </c>
      <c r="M269" s="166">
        <v>3098.4</v>
      </c>
    </row>
    <row r="270" spans="1:13" s="398" customFormat="1" ht="56.25" customHeight="1">
      <c r="A270" s="151"/>
      <c r="B270" s="164" t="s">
        <v>75</v>
      </c>
      <c r="C270" s="165" t="s">
        <v>150</v>
      </c>
      <c r="D270" s="150" t="s">
        <v>57</v>
      </c>
      <c r="E270" s="150" t="s">
        <v>102</v>
      </c>
      <c r="F270" s="744" t="s">
        <v>153</v>
      </c>
      <c r="G270" s="745" t="s">
        <v>65</v>
      </c>
      <c r="H270" s="745" t="s">
        <v>63</v>
      </c>
      <c r="I270" s="746" t="s">
        <v>68</v>
      </c>
      <c r="J270" s="150" t="s">
        <v>76</v>
      </c>
      <c r="K270" s="166">
        <v>235.5</v>
      </c>
      <c r="L270" s="166">
        <f>M270-K270</f>
        <v>0</v>
      </c>
      <c r="M270" s="166">
        <v>235.5</v>
      </c>
    </row>
    <row r="271" spans="1:13" s="398" customFormat="1" ht="18.75" customHeight="1">
      <c r="A271" s="151"/>
      <c r="B271" s="164" t="s">
        <v>77</v>
      </c>
      <c r="C271" s="165" t="s">
        <v>150</v>
      </c>
      <c r="D271" s="150" t="s">
        <v>57</v>
      </c>
      <c r="E271" s="150" t="s">
        <v>102</v>
      </c>
      <c r="F271" s="744" t="s">
        <v>153</v>
      </c>
      <c r="G271" s="745" t="s">
        <v>65</v>
      </c>
      <c r="H271" s="745" t="s">
        <v>63</v>
      </c>
      <c r="I271" s="746" t="s">
        <v>68</v>
      </c>
      <c r="J271" s="150" t="s">
        <v>78</v>
      </c>
      <c r="K271" s="166">
        <v>10</v>
      </c>
      <c r="L271" s="166">
        <f>M271-K271</f>
        <v>0</v>
      </c>
      <c r="M271" s="166">
        <v>10</v>
      </c>
    </row>
    <row r="272" spans="1:13" s="398" customFormat="1" ht="37.5" customHeight="1">
      <c r="A272" s="151"/>
      <c r="B272" s="164" t="s">
        <v>258</v>
      </c>
      <c r="C272" s="165" t="s">
        <v>150</v>
      </c>
      <c r="D272" s="150" t="s">
        <v>57</v>
      </c>
      <c r="E272" s="150" t="s">
        <v>102</v>
      </c>
      <c r="F272" s="744" t="s">
        <v>153</v>
      </c>
      <c r="G272" s="745" t="s">
        <v>65</v>
      </c>
      <c r="H272" s="745" t="s">
        <v>63</v>
      </c>
      <c r="I272" s="746" t="s">
        <v>155</v>
      </c>
      <c r="J272" s="150"/>
      <c r="K272" s="166">
        <f t="shared" ref="K272:M272" si="55">K273</f>
        <v>914.3</v>
      </c>
      <c r="L272" s="166">
        <f t="shared" si="55"/>
        <v>0</v>
      </c>
      <c r="M272" s="166">
        <f t="shared" si="55"/>
        <v>914.3</v>
      </c>
    </row>
    <row r="273" spans="1:13" s="398" customFormat="1" ht="112.5" customHeight="1">
      <c r="A273" s="446"/>
      <c r="B273" s="447" t="s">
        <v>69</v>
      </c>
      <c r="C273" s="448" t="s">
        <v>150</v>
      </c>
      <c r="D273" s="449" t="s">
        <v>57</v>
      </c>
      <c r="E273" s="449" t="s">
        <v>102</v>
      </c>
      <c r="F273" s="365" t="s">
        <v>153</v>
      </c>
      <c r="G273" s="366" t="s">
        <v>65</v>
      </c>
      <c r="H273" s="366" t="s">
        <v>63</v>
      </c>
      <c r="I273" s="367" t="s">
        <v>155</v>
      </c>
      <c r="J273" s="449" t="s">
        <v>70</v>
      </c>
      <c r="K273" s="730">
        <v>914.3</v>
      </c>
      <c r="L273" s="166">
        <f>M273-K273</f>
        <v>0</v>
      </c>
      <c r="M273" s="730">
        <v>914.3</v>
      </c>
    </row>
    <row r="274" spans="1:13" s="413" customFormat="1" ht="18.75" customHeight="1">
      <c r="A274" s="408"/>
      <c r="B274" s="363"/>
      <c r="C274" s="450"/>
      <c r="D274" s="451"/>
      <c r="E274" s="451"/>
      <c r="F274" s="452"/>
      <c r="G274" s="453"/>
      <c r="H274" s="453"/>
      <c r="I274" s="454"/>
      <c r="J274" s="451"/>
      <c r="K274" s="412"/>
      <c r="L274" s="731"/>
      <c r="M274" s="412"/>
    </row>
    <row r="275" spans="1:13" s="407" customFormat="1" ht="56.25" customHeight="1">
      <c r="A275" s="399">
        <v>4</v>
      </c>
      <c r="B275" s="400" t="s">
        <v>17</v>
      </c>
      <c r="C275" s="401" t="s">
        <v>589</v>
      </c>
      <c r="D275" s="402"/>
      <c r="E275" s="402"/>
      <c r="F275" s="403"/>
      <c r="G275" s="404"/>
      <c r="H275" s="404"/>
      <c r="I275" s="405"/>
      <c r="J275" s="402"/>
      <c r="K275" s="406">
        <f>K276+K323+K332+K316+K345</f>
        <v>95525.4</v>
      </c>
      <c r="L275" s="406">
        <f>L276+L323+L332+L316+L345</f>
        <v>17468.499999999996</v>
      </c>
      <c r="M275" s="406">
        <f>M276+M323+M332+M316+M345</f>
        <v>112993.9</v>
      </c>
    </row>
    <row r="276" spans="1:13" s="413" customFormat="1" ht="18.75" customHeight="1">
      <c r="A276" s="408"/>
      <c r="B276" s="363" t="s">
        <v>56</v>
      </c>
      <c r="C276" s="409" t="s">
        <v>589</v>
      </c>
      <c r="D276" s="410" t="s">
        <v>57</v>
      </c>
      <c r="E276" s="311"/>
      <c r="F276" s="411"/>
      <c r="G276" s="309"/>
      <c r="H276" s="309"/>
      <c r="I276" s="310"/>
      <c r="J276" s="311"/>
      <c r="K276" s="412">
        <f>K277</f>
        <v>33011.699999999997</v>
      </c>
      <c r="L276" s="412">
        <f>L277</f>
        <v>5653.5</v>
      </c>
      <c r="M276" s="412">
        <f>M277</f>
        <v>38665.199999999997</v>
      </c>
    </row>
    <row r="277" spans="1:13" s="407" customFormat="1" ht="18.75" customHeight="1">
      <c r="A277" s="408"/>
      <c r="B277" s="363" t="s">
        <v>91</v>
      </c>
      <c r="C277" s="409" t="s">
        <v>589</v>
      </c>
      <c r="D277" s="410" t="s">
        <v>57</v>
      </c>
      <c r="E277" s="410" t="s">
        <v>92</v>
      </c>
      <c r="F277" s="411"/>
      <c r="G277" s="309"/>
      <c r="H277" s="309"/>
      <c r="I277" s="310"/>
      <c r="J277" s="311"/>
      <c r="K277" s="412">
        <f>K278+K309</f>
        <v>33011.699999999997</v>
      </c>
      <c r="L277" s="412">
        <f>L278+L309</f>
        <v>5653.5</v>
      </c>
      <c r="M277" s="412">
        <f>M278+M309</f>
        <v>38665.199999999997</v>
      </c>
    </row>
    <row r="278" spans="1:13" s="413" customFormat="1" ht="57" customHeight="1">
      <c r="A278" s="408"/>
      <c r="B278" s="363" t="s">
        <v>247</v>
      </c>
      <c r="C278" s="409" t="s">
        <v>589</v>
      </c>
      <c r="D278" s="410" t="s">
        <v>57</v>
      </c>
      <c r="E278" s="410" t="s">
        <v>92</v>
      </c>
      <c r="F278" s="339" t="s">
        <v>248</v>
      </c>
      <c r="G278" s="309" t="s">
        <v>62</v>
      </c>
      <c r="H278" s="309" t="s">
        <v>63</v>
      </c>
      <c r="I278" s="310" t="s">
        <v>64</v>
      </c>
      <c r="J278" s="311"/>
      <c r="K278" s="412">
        <f>K279+K287</f>
        <v>27934.799999999999</v>
      </c>
      <c r="L278" s="412">
        <f>L279+L287+L305</f>
        <v>5653.5</v>
      </c>
      <c r="M278" s="412">
        <f>M279+M287+M305</f>
        <v>33588.299999999996</v>
      </c>
    </row>
    <row r="279" spans="1:13" s="413" customFormat="1" ht="42.75" customHeight="1">
      <c r="A279" s="408"/>
      <c r="B279" s="363" t="s">
        <v>249</v>
      </c>
      <c r="C279" s="409" t="s">
        <v>589</v>
      </c>
      <c r="D279" s="410" t="s">
        <v>57</v>
      </c>
      <c r="E279" s="410" t="s">
        <v>92</v>
      </c>
      <c r="F279" s="414" t="s">
        <v>248</v>
      </c>
      <c r="G279" s="415" t="s">
        <v>65</v>
      </c>
      <c r="H279" s="415" t="s">
        <v>63</v>
      </c>
      <c r="I279" s="416" t="s">
        <v>64</v>
      </c>
      <c r="J279" s="311"/>
      <c r="K279" s="412">
        <f>K280+K283</f>
        <v>6791.7</v>
      </c>
      <c r="L279" s="412">
        <f>L280+L283</f>
        <v>3673.5000000000005</v>
      </c>
      <c r="M279" s="412">
        <f>M280+M283</f>
        <v>10465.200000000001</v>
      </c>
    </row>
    <row r="280" spans="1:13" s="413" customFormat="1" ht="100.5" customHeight="1">
      <c r="A280" s="408"/>
      <c r="B280" s="363" t="s">
        <v>349</v>
      </c>
      <c r="C280" s="409" t="s">
        <v>589</v>
      </c>
      <c r="D280" s="410" t="s">
        <v>57</v>
      </c>
      <c r="E280" s="410" t="s">
        <v>92</v>
      </c>
      <c r="F280" s="308" t="s">
        <v>248</v>
      </c>
      <c r="G280" s="309" t="s">
        <v>65</v>
      </c>
      <c r="H280" s="309" t="s">
        <v>57</v>
      </c>
      <c r="I280" s="310" t="s">
        <v>64</v>
      </c>
      <c r="J280" s="311"/>
      <c r="K280" s="412">
        <f t="shared" ref="K280:M281" si="56">K281</f>
        <v>333.4</v>
      </c>
      <c r="L280" s="412">
        <f t="shared" si="56"/>
        <v>0</v>
      </c>
      <c r="M280" s="412">
        <f t="shared" si="56"/>
        <v>333.4</v>
      </c>
    </row>
    <row r="281" spans="1:13" s="413" customFormat="1" ht="56.25" customHeight="1">
      <c r="A281" s="408"/>
      <c r="B281" s="363" t="s">
        <v>250</v>
      </c>
      <c r="C281" s="409" t="s">
        <v>589</v>
      </c>
      <c r="D281" s="410" t="s">
        <v>57</v>
      </c>
      <c r="E281" s="410" t="s">
        <v>92</v>
      </c>
      <c r="F281" s="308" t="s">
        <v>248</v>
      </c>
      <c r="G281" s="309" t="s">
        <v>65</v>
      </c>
      <c r="H281" s="309" t="s">
        <v>57</v>
      </c>
      <c r="I281" s="310" t="s">
        <v>350</v>
      </c>
      <c r="J281" s="311"/>
      <c r="K281" s="412">
        <f t="shared" si="56"/>
        <v>333.4</v>
      </c>
      <c r="L281" s="412">
        <f t="shared" si="56"/>
        <v>0</v>
      </c>
      <c r="M281" s="412">
        <f t="shared" si="56"/>
        <v>333.4</v>
      </c>
    </row>
    <row r="282" spans="1:13" s="407" customFormat="1" ht="56.25" customHeight="1">
      <c r="A282" s="408"/>
      <c r="B282" s="358" t="s">
        <v>75</v>
      </c>
      <c r="C282" s="409" t="s">
        <v>589</v>
      </c>
      <c r="D282" s="410" t="s">
        <v>57</v>
      </c>
      <c r="E282" s="410" t="s">
        <v>92</v>
      </c>
      <c r="F282" s="308" t="s">
        <v>248</v>
      </c>
      <c r="G282" s="309" t="s">
        <v>65</v>
      </c>
      <c r="H282" s="309" t="s">
        <v>57</v>
      </c>
      <c r="I282" s="310" t="s">
        <v>350</v>
      </c>
      <c r="J282" s="311" t="s">
        <v>76</v>
      </c>
      <c r="K282" s="412">
        <v>333.4</v>
      </c>
      <c r="L282" s="166">
        <f>M282-K282</f>
        <v>0</v>
      </c>
      <c r="M282" s="412">
        <v>333.4</v>
      </c>
    </row>
    <row r="283" spans="1:13" s="407" customFormat="1" ht="37.5" customHeight="1">
      <c r="A283" s="408"/>
      <c r="B283" s="358" t="s">
        <v>403</v>
      </c>
      <c r="C283" s="409" t="s">
        <v>589</v>
      </c>
      <c r="D283" s="410" t="s">
        <v>57</v>
      </c>
      <c r="E283" s="410" t="s">
        <v>92</v>
      </c>
      <c r="F283" s="308" t="s">
        <v>248</v>
      </c>
      <c r="G283" s="309" t="s">
        <v>65</v>
      </c>
      <c r="H283" s="309" t="s">
        <v>59</v>
      </c>
      <c r="I283" s="310" t="s">
        <v>64</v>
      </c>
      <c r="J283" s="311"/>
      <c r="K283" s="412">
        <f>K284</f>
        <v>6458.3</v>
      </c>
      <c r="L283" s="412">
        <f>L284</f>
        <v>3673.5000000000005</v>
      </c>
      <c r="M283" s="412">
        <f>M284</f>
        <v>10131.800000000001</v>
      </c>
    </row>
    <row r="284" spans="1:13" s="407" customFormat="1" ht="37.5" customHeight="1">
      <c r="A284" s="408"/>
      <c r="B284" s="358" t="s">
        <v>402</v>
      </c>
      <c r="C284" s="409" t="s">
        <v>589</v>
      </c>
      <c r="D284" s="410" t="s">
        <v>57</v>
      </c>
      <c r="E284" s="410" t="s">
        <v>92</v>
      </c>
      <c r="F284" s="308" t="s">
        <v>248</v>
      </c>
      <c r="G284" s="309" t="s">
        <v>65</v>
      </c>
      <c r="H284" s="309" t="s">
        <v>59</v>
      </c>
      <c r="I284" s="310" t="s">
        <v>401</v>
      </c>
      <c r="J284" s="311"/>
      <c r="K284" s="412">
        <f>SUM(K285:K286)</f>
        <v>6458.3</v>
      </c>
      <c r="L284" s="412">
        <f>SUM(L285:L286)</f>
        <v>3673.5000000000005</v>
      </c>
      <c r="M284" s="412">
        <f>SUM(M285:M286)</f>
        <v>10131.800000000001</v>
      </c>
    </row>
    <row r="285" spans="1:13" s="407" customFormat="1" ht="56.25" customHeight="1">
      <c r="A285" s="408"/>
      <c r="B285" s="358" t="s">
        <v>75</v>
      </c>
      <c r="C285" s="409" t="s">
        <v>589</v>
      </c>
      <c r="D285" s="410" t="s">
        <v>57</v>
      </c>
      <c r="E285" s="410" t="s">
        <v>92</v>
      </c>
      <c r="F285" s="308" t="s">
        <v>248</v>
      </c>
      <c r="G285" s="309" t="s">
        <v>65</v>
      </c>
      <c r="H285" s="309" t="s">
        <v>59</v>
      </c>
      <c r="I285" s="310" t="s">
        <v>401</v>
      </c>
      <c r="J285" s="311" t="s">
        <v>76</v>
      </c>
      <c r="K285" s="412">
        <v>3368.3</v>
      </c>
      <c r="L285" s="166">
        <f>M285-K285</f>
        <v>47.400000000000091</v>
      </c>
      <c r="M285" s="785">
        <f>3368.3+47.4</f>
        <v>3415.7000000000003</v>
      </c>
    </row>
    <row r="286" spans="1:13" s="407" customFormat="1" ht="56.25" customHeight="1">
      <c r="A286" s="408"/>
      <c r="B286" s="164" t="s">
        <v>225</v>
      </c>
      <c r="C286" s="409" t="s">
        <v>589</v>
      </c>
      <c r="D286" s="410" t="s">
        <v>57</v>
      </c>
      <c r="E286" s="410" t="s">
        <v>92</v>
      </c>
      <c r="F286" s="308" t="s">
        <v>248</v>
      </c>
      <c r="G286" s="309" t="s">
        <v>65</v>
      </c>
      <c r="H286" s="309" t="s">
        <v>59</v>
      </c>
      <c r="I286" s="310" t="s">
        <v>401</v>
      </c>
      <c r="J286" s="311" t="s">
        <v>226</v>
      </c>
      <c r="K286" s="412">
        <v>3090</v>
      </c>
      <c r="L286" s="166">
        <f>M286-K286</f>
        <v>3626.1000000000004</v>
      </c>
      <c r="M286" s="785">
        <f>3090+3626.1</f>
        <v>6716.1</v>
      </c>
    </row>
    <row r="287" spans="1:13" s="407" customFormat="1" ht="37.5" customHeight="1">
      <c r="A287" s="408"/>
      <c r="B287" s="363" t="s">
        <v>251</v>
      </c>
      <c r="C287" s="409" t="s">
        <v>589</v>
      </c>
      <c r="D287" s="410" t="s">
        <v>57</v>
      </c>
      <c r="E287" s="410" t="s">
        <v>92</v>
      </c>
      <c r="F287" s="339" t="s">
        <v>248</v>
      </c>
      <c r="G287" s="309" t="s">
        <v>110</v>
      </c>
      <c r="H287" s="309" t="s">
        <v>63</v>
      </c>
      <c r="I287" s="310" t="s">
        <v>64</v>
      </c>
      <c r="J287" s="311"/>
      <c r="K287" s="412">
        <f>K288+K299+K302</f>
        <v>21143.1</v>
      </c>
      <c r="L287" s="412">
        <f>L288+L299+L302</f>
        <v>1455</v>
      </c>
      <c r="M287" s="412">
        <f>M288+M299+M302</f>
        <v>22598.099999999995</v>
      </c>
    </row>
    <row r="288" spans="1:13" s="413" customFormat="1" ht="79.5" customHeight="1">
      <c r="A288" s="408"/>
      <c r="B288" s="363" t="s">
        <v>353</v>
      </c>
      <c r="C288" s="409" t="s">
        <v>589</v>
      </c>
      <c r="D288" s="410" t="s">
        <v>57</v>
      </c>
      <c r="E288" s="410" t="s">
        <v>92</v>
      </c>
      <c r="F288" s="339" t="s">
        <v>248</v>
      </c>
      <c r="G288" s="309" t="s">
        <v>110</v>
      </c>
      <c r="H288" s="309" t="s">
        <v>57</v>
      </c>
      <c r="I288" s="310" t="s">
        <v>64</v>
      </c>
      <c r="J288" s="311"/>
      <c r="K288" s="412">
        <f>K289+K293+K297</f>
        <v>20363.8</v>
      </c>
      <c r="L288" s="412">
        <f>L289+L293+L297</f>
        <v>1455</v>
      </c>
      <c r="M288" s="412">
        <f>M289+M293+M297</f>
        <v>21818.799999999996</v>
      </c>
    </row>
    <row r="289" spans="1:14" s="407" customFormat="1" ht="37.5" customHeight="1">
      <c r="A289" s="408"/>
      <c r="B289" s="363" t="s">
        <v>67</v>
      </c>
      <c r="C289" s="409" t="s">
        <v>589</v>
      </c>
      <c r="D289" s="410" t="s">
        <v>57</v>
      </c>
      <c r="E289" s="410" t="s">
        <v>92</v>
      </c>
      <c r="F289" s="417" t="s">
        <v>248</v>
      </c>
      <c r="G289" s="415" t="s">
        <v>110</v>
      </c>
      <c r="H289" s="415" t="s">
        <v>57</v>
      </c>
      <c r="I289" s="416" t="s">
        <v>68</v>
      </c>
      <c r="J289" s="311"/>
      <c r="K289" s="412">
        <f>K290+K291+K292</f>
        <v>12882.399999999998</v>
      </c>
      <c r="L289" s="412">
        <f>L290+L291+L292</f>
        <v>0</v>
      </c>
      <c r="M289" s="412">
        <f>M290+M291+M292</f>
        <v>12882.399999999998</v>
      </c>
    </row>
    <row r="290" spans="1:14" s="413" customFormat="1" ht="112.5" customHeight="1">
      <c r="A290" s="408"/>
      <c r="B290" s="363" t="s">
        <v>69</v>
      </c>
      <c r="C290" s="409" t="s">
        <v>589</v>
      </c>
      <c r="D290" s="410" t="s">
        <v>57</v>
      </c>
      <c r="E290" s="410" t="s">
        <v>92</v>
      </c>
      <c r="F290" s="339" t="s">
        <v>248</v>
      </c>
      <c r="G290" s="309" t="s">
        <v>110</v>
      </c>
      <c r="H290" s="309" t="s">
        <v>57</v>
      </c>
      <c r="I290" s="310" t="s">
        <v>68</v>
      </c>
      <c r="J290" s="311" t="s">
        <v>70</v>
      </c>
      <c r="K290" s="412">
        <v>12567.3</v>
      </c>
      <c r="L290" s="166">
        <f>M290-K290</f>
        <v>0</v>
      </c>
      <c r="M290" s="412">
        <v>12567.3</v>
      </c>
    </row>
    <row r="291" spans="1:14" s="413" customFormat="1" ht="56.25" customHeight="1">
      <c r="A291" s="408"/>
      <c r="B291" s="358" t="s">
        <v>75</v>
      </c>
      <c r="C291" s="409" t="s">
        <v>589</v>
      </c>
      <c r="D291" s="410" t="s">
        <v>57</v>
      </c>
      <c r="E291" s="410" t="s">
        <v>92</v>
      </c>
      <c r="F291" s="339" t="s">
        <v>248</v>
      </c>
      <c r="G291" s="309" t="s">
        <v>110</v>
      </c>
      <c r="H291" s="309" t="s">
        <v>57</v>
      </c>
      <c r="I291" s="310" t="s">
        <v>68</v>
      </c>
      <c r="J291" s="311" t="s">
        <v>76</v>
      </c>
      <c r="K291" s="412">
        <v>313.8</v>
      </c>
      <c r="L291" s="166">
        <f>M291-K291</f>
        <v>0</v>
      </c>
      <c r="M291" s="412">
        <v>313.8</v>
      </c>
      <c r="N291" s="455"/>
    </row>
    <row r="292" spans="1:14" s="413" customFormat="1" ht="18.75" customHeight="1">
      <c r="A292" s="408"/>
      <c r="B292" s="363" t="s">
        <v>77</v>
      </c>
      <c r="C292" s="409" t="s">
        <v>589</v>
      </c>
      <c r="D292" s="410" t="s">
        <v>57</v>
      </c>
      <c r="E292" s="410" t="s">
        <v>92</v>
      </c>
      <c r="F292" s="339" t="s">
        <v>248</v>
      </c>
      <c r="G292" s="309" t="s">
        <v>110</v>
      </c>
      <c r="H292" s="309" t="s">
        <v>57</v>
      </c>
      <c r="I292" s="310" t="s">
        <v>68</v>
      </c>
      <c r="J292" s="311" t="s">
        <v>78</v>
      </c>
      <c r="K292" s="412">
        <v>1.3</v>
      </c>
      <c r="L292" s="166">
        <f>M292-K292</f>
        <v>0</v>
      </c>
      <c r="M292" s="412">
        <v>1.3</v>
      </c>
    </row>
    <row r="293" spans="1:14" s="413" customFormat="1" ht="36" customHeight="1">
      <c r="A293" s="408"/>
      <c r="B293" s="167" t="s">
        <v>800</v>
      </c>
      <c r="C293" s="409" t="s">
        <v>589</v>
      </c>
      <c r="D293" s="410" t="s">
        <v>57</v>
      </c>
      <c r="E293" s="410" t="s">
        <v>92</v>
      </c>
      <c r="F293" s="339" t="s">
        <v>248</v>
      </c>
      <c r="G293" s="309" t="s">
        <v>110</v>
      </c>
      <c r="H293" s="309" t="s">
        <v>57</v>
      </c>
      <c r="I293" s="310" t="s">
        <v>112</v>
      </c>
      <c r="J293" s="311"/>
      <c r="K293" s="412">
        <f>K294+K295+K296</f>
        <v>7446.9000000000005</v>
      </c>
      <c r="L293" s="412">
        <f>L294+L295+L296</f>
        <v>1455</v>
      </c>
      <c r="M293" s="412">
        <f>M294+M295+M296</f>
        <v>8901.9</v>
      </c>
      <c r="N293" s="455"/>
    </row>
    <row r="294" spans="1:14" s="413" customFormat="1" ht="112.5" customHeight="1">
      <c r="A294" s="408"/>
      <c r="B294" s="363" t="s">
        <v>69</v>
      </c>
      <c r="C294" s="409" t="s">
        <v>589</v>
      </c>
      <c r="D294" s="410" t="s">
        <v>57</v>
      </c>
      <c r="E294" s="410" t="s">
        <v>92</v>
      </c>
      <c r="F294" s="339" t="s">
        <v>248</v>
      </c>
      <c r="G294" s="309" t="s">
        <v>110</v>
      </c>
      <c r="H294" s="309" t="s">
        <v>57</v>
      </c>
      <c r="I294" s="310" t="s">
        <v>112</v>
      </c>
      <c r="J294" s="311" t="s">
        <v>70</v>
      </c>
      <c r="K294" s="412">
        <v>5359.6</v>
      </c>
      <c r="L294" s="166">
        <f>M294-K294</f>
        <v>1455</v>
      </c>
      <c r="M294" s="785">
        <f>5359.6+1455</f>
        <v>6814.6</v>
      </c>
      <c r="N294" s="455"/>
    </row>
    <row r="295" spans="1:14" s="413" customFormat="1" ht="56.25" customHeight="1">
      <c r="A295" s="408"/>
      <c r="B295" s="358" t="s">
        <v>75</v>
      </c>
      <c r="C295" s="409" t="s">
        <v>589</v>
      </c>
      <c r="D295" s="410" t="s">
        <v>57</v>
      </c>
      <c r="E295" s="410" t="s">
        <v>92</v>
      </c>
      <c r="F295" s="417" t="s">
        <v>248</v>
      </c>
      <c r="G295" s="415" t="s">
        <v>110</v>
      </c>
      <c r="H295" s="415" t="s">
        <v>57</v>
      </c>
      <c r="I295" s="416" t="s">
        <v>112</v>
      </c>
      <c r="J295" s="311" t="s">
        <v>76</v>
      </c>
      <c r="K295" s="412">
        <f>344.2+1718.5</f>
        <v>2062.6999999999998</v>
      </c>
      <c r="L295" s="166">
        <f t="shared" ref="L295:L296" si="57">M295-K295</f>
        <v>0</v>
      </c>
      <c r="M295" s="412">
        <f>344.2+1718.5</f>
        <v>2062.6999999999998</v>
      </c>
    </row>
    <row r="296" spans="1:14" s="413" customFormat="1" ht="18.75" customHeight="1">
      <c r="A296" s="408"/>
      <c r="B296" s="363" t="s">
        <v>77</v>
      </c>
      <c r="C296" s="409" t="s">
        <v>589</v>
      </c>
      <c r="D296" s="410" t="s">
        <v>57</v>
      </c>
      <c r="E296" s="410" t="s">
        <v>92</v>
      </c>
      <c r="F296" s="339" t="s">
        <v>248</v>
      </c>
      <c r="G296" s="309" t="s">
        <v>110</v>
      </c>
      <c r="H296" s="309" t="s">
        <v>57</v>
      </c>
      <c r="I296" s="310" t="s">
        <v>112</v>
      </c>
      <c r="J296" s="311" t="s">
        <v>78</v>
      </c>
      <c r="K296" s="412">
        <v>24.6</v>
      </c>
      <c r="L296" s="166">
        <f t="shared" si="57"/>
        <v>0</v>
      </c>
      <c r="M296" s="412">
        <v>24.6</v>
      </c>
      <c r="N296" s="455"/>
    </row>
    <row r="297" spans="1:14" s="413" customFormat="1" ht="56.25" customHeight="1">
      <c r="A297" s="408"/>
      <c r="B297" s="358" t="s">
        <v>431</v>
      </c>
      <c r="C297" s="409" t="s">
        <v>589</v>
      </c>
      <c r="D297" s="410" t="s">
        <v>57</v>
      </c>
      <c r="E297" s="410" t="s">
        <v>92</v>
      </c>
      <c r="F297" s="339" t="s">
        <v>248</v>
      </c>
      <c r="G297" s="309" t="s">
        <v>110</v>
      </c>
      <c r="H297" s="309" t="s">
        <v>57</v>
      </c>
      <c r="I297" s="310" t="s">
        <v>430</v>
      </c>
      <c r="J297" s="311"/>
      <c r="K297" s="412">
        <f>K298</f>
        <v>34.5</v>
      </c>
      <c r="L297" s="412">
        <f>L298</f>
        <v>0</v>
      </c>
      <c r="M297" s="412">
        <f>M298</f>
        <v>34.5</v>
      </c>
      <c r="N297" s="455"/>
    </row>
    <row r="298" spans="1:14" s="413" customFormat="1" ht="56.25" customHeight="1">
      <c r="A298" s="408"/>
      <c r="B298" s="358" t="s">
        <v>75</v>
      </c>
      <c r="C298" s="409" t="s">
        <v>589</v>
      </c>
      <c r="D298" s="410" t="s">
        <v>57</v>
      </c>
      <c r="E298" s="410" t="s">
        <v>92</v>
      </c>
      <c r="F298" s="339" t="s">
        <v>248</v>
      </c>
      <c r="G298" s="309" t="s">
        <v>110</v>
      </c>
      <c r="H298" s="309" t="s">
        <v>57</v>
      </c>
      <c r="I298" s="456" t="s">
        <v>430</v>
      </c>
      <c r="J298" s="311" t="s">
        <v>76</v>
      </c>
      <c r="K298" s="412">
        <v>34.5</v>
      </c>
      <c r="L298" s="166">
        <f>M298-K298</f>
        <v>0</v>
      </c>
      <c r="M298" s="412">
        <v>34.5</v>
      </c>
      <c r="N298" s="455"/>
    </row>
    <row r="299" spans="1:14" s="463" customFormat="1" ht="37.5" customHeight="1">
      <c r="A299" s="457"/>
      <c r="B299" s="458" t="s">
        <v>428</v>
      </c>
      <c r="C299" s="459" t="s">
        <v>589</v>
      </c>
      <c r="D299" s="460" t="s">
        <v>57</v>
      </c>
      <c r="E299" s="460" t="s">
        <v>92</v>
      </c>
      <c r="F299" s="339" t="s">
        <v>248</v>
      </c>
      <c r="G299" s="340" t="s">
        <v>110</v>
      </c>
      <c r="H299" s="340" t="s">
        <v>59</v>
      </c>
      <c r="I299" s="341" t="s">
        <v>64</v>
      </c>
      <c r="J299" s="342"/>
      <c r="K299" s="461">
        <f t="shared" ref="K299:M300" si="58">K300</f>
        <v>758.8</v>
      </c>
      <c r="L299" s="461">
        <f t="shared" si="58"/>
        <v>0</v>
      </c>
      <c r="M299" s="461">
        <f t="shared" si="58"/>
        <v>758.8</v>
      </c>
      <c r="N299" s="462"/>
    </row>
    <row r="300" spans="1:14" s="463" customFormat="1" ht="60.75" customHeight="1">
      <c r="A300" s="464"/>
      <c r="B300" s="465" t="s">
        <v>429</v>
      </c>
      <c r="C300" s="409" t="s">
        <v>589</v>
      </c>
      <c r="D300" s="410" t="s">
        <v>57</v>
      </c>
      <c r="E300" s="410" t="s">
        <v>92</v>
      </c>
      <c r="F300" s="419" t="s">
        <v>248</v>
      </c>
      <c r="G300" s="340" t="s">
        <v>110</v>
      </c>
      <c r="H300" s="340" t="s">
        <v>59</v>
      </c>
      <c r="I300" s="341" t="s">
        <v>126</v>
      </c>
      <c r="J300" s="344"/>
      <c r="K300" s="466">
        <f t="shared" si="58"/>
        <v>758.8</v>
      </c>
      <c r="L300" s="466">
        <f t="shared" si="58"/>
        <v>0</v>
      </c>
      <c r="M300" s="466">
        <f t="shared" si="58"/>
        <v>758.8</v>
      </c>
      <c r="N300" s="462"/>
    </row>
    <row r="301" spans="1:14" s="463" customFormat="1" ht="56.25" customHeight="1">
      <c r="A301" s="464"/>
      <c r="B301" s="467" t="s">
        <v>75</v>
      </c>
      <c r="C301" s="409" t="s">
        <v>589</v>
      </c>
      <c r="D301" s="410" t="s">
        <v>57</v>
      </c>
      <c r="E301" s="410" t="s">
        <v>92</v>
      </c>
      <c r="F301" s="419" t="s">
        <v>248</v>
      </c>
      <c r="G301" s="348" t="s">
        <v>110</v>
      </c>
      <c r="H301" s="348" t="s">
        <v>59</v>
      </c>
      <c r="I301" s="468" t="s">
        <v>126</v>
      </c>
      <c r="J301" s="469" t="s">
        <v>76</v>
      </c>
      <c r="K301" s="732">
        <v>758.8</v>
      </c>
      <c r="L301" s="166">
        <f>M301-K301</f>
        <v>0</v>
      </c>
      <c r="M301" s="732">
        <v>758.8</v>
      </c>
      <c r="N301" s="462"/>
    </row>
    <row r="302" spans="1:14" s="463" customFormat="1" ht="37.5" customHeight="1">
      <c r="A302" s="464"/>
      <c r="B302" s="470" t="s">
        <v>464</v>
      </c>
      <c r="C302" s="409" t="s">
        <v>589</v>
      </c>
      <c r="D302" s="410" t="s">
        <v>57</v>
      </c>
      <c r="E302" s="410" t="s">
        <v>92</v>
      </c>
      <c r="F302" s="419" t="s">
        <v>248</v>
      </c>
      <c r="G302" s="340" t="s">
        <v>110</v>
      </c>
      <c r="H302" s="340" t="s">
        <v>84</v>
      </c>
      <c r="I302" s="341" t="s">
        <v>64</v>
      </c>
      <c r="J302" s="344"/>
      <c r="K302" s="466">
        <f t="shared" ref="K302:M302" si="59">K303</f>
        <v>20.5</v>
      </c>
      <c r="L302" s="466">
        <f t="shared" si="59"/>
        <v>0</v>
      </c>
      <c r="M302" s="466">
        <f t="shared" si="59"/>
        <v>20.5</v>
      </c>
      <c r="N302" s="462"/>
    </row>
    <row r="303" spans="1:14" s="463" customFormat="1" ht="37.5" customHeight="1">
      <c r="A303" s="464"/>
      <c r="B303" s="470" t="s">
        <v>402</v>
      </c>
      <c r="C303" s="409" t="s">
        <v>589</v>
      </c>
      <c r="D303" s="410" t="s">
        <v>57</v>
      </c>
      <c r="E303" s="410" t="s">
        <v>92</v>
      </c>
      <c r="F303" s="347" t="s">
        <v>248</v>
      </c>
      <c r="G303" s="348" t="s">
        <v>110</v>
      </c>
      <c r="H303" s="348" t="s">
        <v>84</v>
      </c>
      <c r="I303" s="468" t="s">
        <v>401</v>
      </c>
      <c r="J303" s="344"/>
      <c r="K303" s="466">
        <f>K304</f>
        <v>20.5</v>
      </c>
      <c r="L303" s="466">
        <f>L304</f>
        <v>0</v>
      </c>
      <c r="M303" s="466">
        <f>M304</f>
        <v>20.5</v>
      </c>
      <c r="N303" s="462"/>
    </row>
    <row r="304" spans="1:14" s="463" customFormat="1" ht="18.75" customHeight="1">
      <c r="A304" s="471"/>
      <c r="B304" s="363" t="s">
        <v>77</v>
      </c>
      <c r="C304" s="472" t="s">
        <v>589</v>
      </c>
      <c r="D304" s="410" t="s">
        <v>57</v>
      </c>
      <c r="E304" s="410" t="s">
        <v>92</v>
      </c>
      <c r="F304" s="339" t="s">
        <v>248</v>
      </c>
      <c r="G304" s="340" t="s">
        <v>110</v>
      </c>
      <c r="H304" s="340" t="s">
        <v>84</v>
      </c>
      <c r="I304" s="341" t="s">
        <v>401</v>
      </c>
      <c r="J304" s="344" t="s">
        <v>78</v>
      </c>
      <c r="K304" s="466">
        <v>20.5</v>
      </c>
      <c r="L304" s="166">
        <f>M304-K304</f>
        <v>0</v>
      </c>
      <c r="M304" s="732">
        <v>20.5</v>
      </c>
      <c r="N304" s="462"/>
    </row>
    <row r="305" spans="1:14" s="463" customFormat="1" ht="37.5">
      <c r="A305" s="471"/>
      <c r="B305" s="792" t="s">
        <v>404</v>
      </c>
      <c r="C305" s="793" t="s">
        <v>589</v>
      </c>
      <c r="D305" s="794" t="s">
        <v>57</v>
      </c>
      <c r="E305" s="794" t="s">
        <v>92</v>
      </c>
      <c r="F305" s="795" t="s">
        <v>248</v>
      </c>
      <c r="G305" s="796" t="s">
        <v>50</v>
      </c>
      <c r="H305" s="796" t="s">
        <v>63</v>
      </c>
      <c r="I305" s="797" t="s">
        <v>64</v>
      </c>
      <c r="J305" s="798"/>
      <c r="K305" s="799"/>
      <c r="L305" s="764">
        <f t="shared" ref="L305:M307" si="60">L306</f>
        <v>525</v>
      </c>
      <c r="M305" s="802">
        <f t="shared" si="60"/>
        <v>525</v>
      </c>
      <c r="N305" s="462"/>
    </row>
    <row r="306" spans="1:14" s="463" customFormat="1" ht="37.5">
      <c r="A306" s="471"/>
      <c r="B306" s="792" t="s">
        <v>464</v>
      </c>
      <c r="C306" s="793" t="s">
        <v>589</v>
      </c>
      <c r="D306" s="794" t="s">
        <v>57</v>
      </c>
      <c r="E306" s="794" t="s">
        <v>92</v>
      </c>
      <c r="F306" s="795" t="s">
        <v>248</v>
      </c>
      <c r="G306" s="796" t="s">
        <v>50</v>
      </c>
      <c r="H306" s="796" t="s">
        <v>248</v>
      </c>
      <c r="I306" s="797" t="s">
        <v>64</v>
      </c>
      <c r="J306" s="798"/>
      <c r="K306" s="799"/>
      <c r="L306" s="764">
        <f t="shared" si="60"/>
        <v>525</v>
      </c>
      <c r="M306" s="764">
        <f t="shared" si="60"/>
        <v>525</v>
      </c>
      <c r="N306" s="462"/>
    </row>
    <row r="307" spans="1:14" s="463" customFormat="1" ht="37.5">
      <c r="A307" s="471"/>
      <c r="B307" s="800" t="s">
        <v>402</v>
      </c>
      <c r="C307" s="793" t="s">
        <v>589</v>
      </c>
      <c r="D307" s="794" t="s">
        <v>57</v>
      </c>
      <c r="E307" s="794" t="s">
        <v>92</v>
      </c>
      <c r="F307" s="795" t="s">
        <v>248</v>
      </c>
      <c r="G307" s="796" t="s">
        <v>50</v>
      </c>
      <c r="H307" s="796" t="s">
        <v>248</v>
      </c>
      <c r="I307" s="797" t="s">
        <v>401</v>
      </c>
      <c r="J307" s="798"/>
      <c r="K307" s="799"/>
      <c r="L307" s="764">
        <f t="shared" si="60"/>
        <v>525</v>
      </c>
      <c r="M307" s="764">
        <f t="shared" si="60"/>
        <v>525</v>
      </c>
      <c r="N307" s="462"/>
    </row>
    <row r="308" spans="1:14" s="463" customFormat="1" ht="56.25">
      <c r="A308" s="471"/>
      <c r="B308" s="801" t="s">
        <v>75</v>
      </c>
      <c r="C308" s="793" t="s">
        <v>589</v>
      </c>
      <c r="D308" s="794" t="s">
        <v>57</v>
      </c>
      <c r="E308" s="794" t="s">
        <v>92</v>
      </c>
      <c r="F308" s="795" t="s">
        <v>248</v>
      </c>
      <c r="G308" s="796" t="s">
        <v>50</v>
      </c>
      <c r="H308" s="796" t="s">
        <v>248</v>
      </c>
      <c r="I308" s="797" t="s">
        <v>401</v>
      </c>
      <c r="J308" s="798" t="s">
        <v>76</v>
      </c>
      <c r="K308" s="799"/>
      <c r="L308" s="764">
        <f>M308-K308</f>
        <v>525</v>
      </c>
      <c r="M308" s="805">
        <v>525</v>
      </c>
      <c r="N308" s="462"/>
    </row>
    <row r="309" spans="1:14" s="413" customFormat="1" ht="61.5" customHeight="1">
      <c r="A309" s="408"/>
      <c r="B309" s="418" t="s">
        <v>60</v>
      </c>
      <c r="C309" s="409" t="s">
        <v>589</v>
      </c>
      <c r="D309" s="410" t="s">
        <v>57</v>
      </c>
      <c r="E309" s="410" t="s">
        <v>92</v>
      </c>
      <c r="F309" s="419" t="s">
        <v>61</v>
      </c>
      <c r="G309" s="309" t="s">
        <v>62</v>
      </c>
      <c r="H309" s="309" t="s">
        <v>63</v>
      </c>
      <c r="I309" s="310" t="s">
        <v>64</v>
      </c>
      <c r="J309" s="311"/>
      <c r="K309" s="412">
        <f t="shared" ref="K309:M311" si="61">K310</f>
        <v>5076.9000000000005</v>
      </c>
      <c r="L309" s="791">
        <f t="shared" si="61"/>
        <v>0</v>
      </c>
      <c r="M309" s="412">
        <f t="shared" si="61"/>
        <v>5076.9000000000005</v>
      </c>
      <c r="N309" s="455"/>
    </row>
    <row r="310" spans="1:14" s="413" customFormat="1" ht="37.5" customHeight="1">
      <c r="A310" s="408"/>
      <c r="B310" s="358" t="s">
        <v>404</v>
      </c>
      <c r="C310" s="409" t="s">
        <v>589</v>
      </c>
      <c r="D310" s="410" t="s">
        <v>57</v>
      </c>
      <c r="E310" s="410" t="s">
        <v>92</v>
      </c>
      <c r="F310" s="339" t="s">
        <v>61</v>
      </c>
      <c r="G310" s="309" t="s">
        <v>65</v>
      </c>
      <c r="H310" s="309" t="s">
        <v>63</v>
      </c>
      <c r="I310" s="310" t="s">
        <v>64</v>
      </c>
      <c r="J310" s="311"/>
      <c r="K310" s="412">
        <f t="shared" si="61"/>
        <v>5076.9000000000005</v>
      </c>
      <c r="L310" s="412">
        <f t="shared" si="61"/>
        <v>0</v>
      </c>
      <c r="M310" s="412">
        <f t="shared" si="61"/>
        <v>5076.9000000000005</v>
      </c>
      <c r="N310" s="455"/>
    </row>
    <row r="311" spans="1:14" s="413" customFormat="1" ht="75" customHeight="1">
      <c r="A311" s="408"/>
      <c r="B311" s="363" t="s">
        <v>351</v>
      </c>
      <c r="C311" s="409" t="s">
        <v>589</v>
      </c>
      <c r="D311" s="410" t="s">
        <v>57</v>
      </c>
      <c r="E311" s="410" t="s">
        <v>92</v>
      </c>
      <c r="F311" s="339" t="s">
        <v>61</v>
      </c>
      <c r="G311" s="309" t="s">
        <v>65</v>
      </c>
      <c r="H311" s="309" t="s">
        <v>102</v>
      </c>
      <c r="I311" s="310" t="s">
        <v>64</v>
      </c>
      <c r="J311" s="311"/>
      <c r="K311" s="412">
        <f t="shared" si="61"/>
        <v>5076.9000000000005</v>
      </c>
      <c r="L311" s="412">
        <f t="shared" si="61"/>
        <v>0</v>
      </c>
      <c r="M311" s="412">
        <f t="shared" si="61"/>
        <v>5076.9000000000005</v>
      </c>
      <c r="N311" s="455"/>
    </row>
    <row r="312" spans="1:14" s="413" customFormat="1" ht="37.5" customHeight="1">
      <c r="A312" s="408"/>
      <c r="B312" s="167" t="s">
        <v>800</v>
      </c>
      <c r="C312" s="409" t="s">
        <v>589</v>
      </c>
      <c r="D312" s="410" t="s">
        <v>57</v>
      </c>
      <c r="E312" s="410" t="s">
        <v>92</v>
      </c>
      <c r="F312" s="339" t="s">
        <v>61</v>
      </c>
      <c r="G312" s="309" t="s">
        <v>65</v>
      </c>
      <c r="H312" s="309" t="s">
        <v>102</v>
      </c>
      <c r="I312" s="310" t="s">
        <v>112</v>
      </c>
      <c r="J312" s="311"/>
      <c r="K312" s="412">
        <f>K313+K314+K315</f>
        <v>5076.9000000000005</v>
      </c>
      <c r="L312" s="412">
        <f>L313+L314+L315</f>
        <v>0</v>
      </c>
      <c r="M312" s="412">
        <f>M313+M314+M315</f>
        <v>5076.9000000000005</v>
      </c>
      <c r="N312" s="455"/>
    </row>
    <row r="313" spans="1:14" s="413" customFormat="1" ht="112.5" customHeight="1">
      <c r="A313" s="408"/>
      <c r="B313" s="363" t="s">
        <v>69</v>
      </c>
      <c r="C313" s="409" t="s">
        <v>589</v>
      </c>
      <c r="D313" s="410" t="s">
        <v>57</v>
      </c>
      <c r="E313" s="410" t="s">
        <v>92</v>
      </c>
      <c r="F313" s="339" t="s">
        <v>61</v>
      </c>
      <c r="G313" s="309" t="s">
        <v>65</v>
      </c>
      <c r="H313" s="309" t="s">
        <v>102</v>
      </c>
      <c r="I313" s="310" t="s">
        <v>112</v>
      </c>
      <c r="J313" s="311" t="s">
        <v>70</v>
      </c>
      <c r="K313" s="412">
        <v>4593.1000000000004</v>
      </c>
      <c r="L313" s="166">
        <f t="shared" ref="L313:L315" si="62">M313-K313</f>
        <v>0</v>
      </c>
      <c r="M313" s="412">
        <v>4593.1000000000004</v>
      </c>
      <c r="N313" s="455"/>
    </row>
    <row r="314" spans="1:14" s="413" customFormat="1" ht="56.25" customHeight="1">
      <c r="A314" s="408"/>
      <c r="B314" s="358" t="s">
        <v>75</v>
      </c>
      <c r="C314" s="409" t="s">
        <v>589</v>
      </c>
      <c r="D314" s="410" t="s">
        <v>57</v>
      </c>
      <c r="E314" s="410" t="s">
        <v>92</v>
      </c>
      <c r="F314" s="339" t="s">
        <v>61</v>
      </c>
      <c r="G314" s="309" t="s">
        <v>65</v>
      </c>
      <c r="H314" s="309" t="s">
        <v>102</v>
      </c>
      <c r="I314" s="310" t="s">
        <v>112</v>
      </c>
      <c r="J314" s="311" t="s">
        <v>76</v>
      </c>
      <c r="K314" s="412">
        <v>483.7</v>
      </c>
      <c r="L314" s="166">
        <f t="shared" si="62"/>
        <v>0</v>
      </c>
      <c r="M314" s="412">
        <v>483.7</v>
      </c>
      <c r="N314" s="455"/>
    </row>
    <row r="315" spans="1:14" s="413" customFormat="1" ht="18.75" customHeight="1">
      <c r="A315" s="408"/>
      <c r="B315" s="363" t="s">
        <v>77</v>
      </c>
      <c r="C315" s="409" t="s">
        <v>589</v>
      </c>
      <c r="D315" s="410" t="s">
        <v>57</v>
      </c>
      <c r="E315" s="410" t="s">
        <v>92</v>
      </c>
      <c r="F315" s="339" t="s">
        <v>61</v>
      </c>
      <c r="G315" s="309" t="s">
        <v>65</v>
      </c>
      <c r="H315" s="309" t="s">
        <v>102</v>
      </c>
      <c r="I315" s="310" t="s">
        <v>112</v>
      </c>
      <c r="J315" s="311" t="s">
        <v>78</v>
      </c>
      <c r="K315" s="412">
        <v>0.1</v>
      </c>
      <c r="L315" s="166">
        <f t="shared" si="62"/>
        <v>0</v>
      </c>
      <c r="M315" s="412">
        <v>0.1</v>
      </c>
      <c r="N315" s="455"/>
    </row>
    <row r="316" spans="1:14" s="413" customFormat="1" ht="18.75" customHeight="1">
      <c r="A316" s="408"/>
      <c r="B316" s="358" t="s">
        <v>113</v>
      </c>
      <c r="C316" s="409" t="s">
        <v>589</v>
      </c>
      <c r="D316" s="410" t="s">
        <v>72</v>
      </c>
      <c r="E316" s="410"/>
      <c r="F316" s="339"/>
      <c r="G316" s="309"/>
      <c r="H316" s="309"/>
      <c r="I316" s="310"/>
      <c r="J316" s="311"/>
      <c r="K316" s="412">
        <f t="shared" ref="K316:M321" si="63">K317</f>
        <v>1002.1</v>
      </c>
      <c r="L316" s="412">
        <f t="shared" si="63"/>
        <v>0</v>
      </c>
      <c r="M316" s="412">
        <f t="shared" si="63"/>
        <v>1002.1</v>
      </c>
      <c r="N316" s="455"/>
    </row>
    <row r="317" spans="1:14" s="413" customFormat="1" ht="37.5" customHeight="1">
      <c r="A317" s="408"/>
      <c r="B317" s="473" t="s">
        <v>127</v>
      </c>
      <c r="C317" s="409" t="s">
        <v>589</v>
      </c>
      <c r="D317" s="410" t="s">
        <v>72</v>
      </c>
      <c r="E317" s="410" t="s">
        <v>121</v>
      </c>
      <c r="F317" s="339"/>
      <c r="G317" s="309"/>
      <c r="H317" s="309"/>
      <c r="I317" s="310"/>
      <c r="J317" s="311"/>
      <c r="K317" s="412">
        <f t="shared" si="63"/>
        <v>1002.1</v>
      </c>
      <c r="L317" s="412">
        <f t="shared" si="63"/>
        <v>0</v>
      </c>
      <c r="M317" s="412">
        <f t="shared" si="63"/>
        <v>1002.1</v>
      </c>
      <c r="N317" s="455"/>
    </row>
    <row r="318" spans="1:14" s="413" customFormat="1" ht="56.25" customHeight="1">
      <c r="A318" s="408"/>
      <c r="B318" s="363" t="s">
        <v>247</v>
      </c>
      <c r="C318" s="409" t="s">
        <v>589</v>
      </c>
      <c r="D318" s="410" t="s">
        <v>72</v>
      </c>
      <c r="E318" s="410" t="s">
        <v>121</v>
      </c>
      <c r="F318" s="339" t="s">
        <v>248</v>
      </c>
      <c r="G318" s="309" t="s">
        <v>62</v>
      </c>
      <c r="H318" s="309" t="s">
        <v>63</v>
      </c>
      <c r="I318" s="310" t="s">
        <v>64</v>
      </c>
      <c r="J318" s="311"/>
      <c r="K318" s="412">
        <f t="shared" si="63"/>
        <v>1002.1</v>
      </c>
      <c r="L318" s="412">
        <f t="shared" si="63"/>
        <v>0</v>
      </c>
      <c r="M318" s="412">
        <f t="shared" si="63"/>
        <v>1002.1</v>
      </c>
      <c r="N318" s="455"/>
    </row>
    <row r="319" spans="1:14" s="413" customFormat="1" ht="41.25" customHeight="1">
      <c r="A319" s="408"/>
      <c r="B319" s="363" t="s">
        <v>249</v>
      </c>
      <c r="C319" s="409" t="s">
        <v>589</v>
      </c>
      <c r="D319" s="410" t="s">
        <v>72</v>
      </c>
      <c r="E319" s="410" t="s">
        <v>121</v>
      </c>
      <c r="F319" s="339" t="s">
        <v>248</v>
      </c>
      <c r="G319" s="309" t="s">
        <v>65</v>
      </c>
      <c r="H319" s="309" t="s">
        <v>63</v>
      </c>
      <c r="I319" s="310" t="s">
        <v>64</v>
      </c>
      <c r="J319" s="311"/>
      <c r="K319" s="412">
        <f t="shared" si="63"/>
        <v>1002.1</v>
      </c>
      <c r="L319" s="412">
        <f t="shared" si="63"/>
        <v>0</v>
      </c>
      <c r="M319" s="412">
        <f t="shared" si="63"/>
        <v>1002.1</v>
      </c>
      <c r="N319" s="455"/>
    </row>
    <row r="320" spans="1:14" s="413" customFormat="1" ht="96.75" customHeight="1">
      <c r="A320" s="408"/>
      <c r="B320" s="363" t="s">
        <v>349</v>
      </c>
      <c r="C320" s="409" t="s">
        <v>589</v>
      </c>
      <c r="D320" s="410" t="s">
        <v>72</v>
      </c>
      <c r="E320" s="410" t="s">
        <v>121</v>
      </c>
      <c r="F320" s="339" t="s">
        <v>248</v>
      </c>
      <c r="G320" s="309" t="s">
        <v>65</v>
      </c>
      <c r="H320" s="309" t="s">
        <v>57</v>
      </c>
      <c r="I320" s="310" t="s">
        <v>64</v>
      </c>
      <c r="J320" s="311"/>
      <c r="K320" s="412">
        <f t="shared" si="63"/>
        <v>1002.1</v>
      </c>
      <c r="L320" s="412">
        <f t="shared" si="63"/>
        <v>0</v>
      </c>
      <c r="M320" s="412">
        <f t="shared" si="63"/>
        <v>1002.1</v>
      </c>
      <c r="N320" s="455"/>
    </row>
    <row r="321" spans="1:14" s="413" customFormat="1" ht="37.5" customHeight="1">
      <c r="A321" s="408"/>
      <c r="B321" s="363" t="s">
        <v>459</v>
      </c>
      <c r="C321" s="409" t="s">
        <v>589</v>
      </c>
      <c r="D321" s="410" t="s">
        <v>72</v>
      </c>
      <c r="E321" s="410" t="s">
        <v>121</v>
      </c>
      <c r="F321" s="339" t="s">
        <v>248</v>
      </c>
      <c r="G321" s="309" t="s">
        <v>65</v>
      </c>
      <c r="H321" s="309" t="s">
        <v>57</v>
      </c>
      <c r="I321" s="310" t="s">
        <v>458</v>
      </c>
      <c r="J321" s="311"/>
      <c r="K321" s="412">
        <f t="shared" si="63"/>
        <v>1002.1</v>
      </c>
      <c r="L321" s="412">
        <f t="shared" si="63"/>
        <v>0</v>
      </c>
      <c r="M321" s="412">
        <f t="shared" si="63"/>
        <v>1002.1</v>
      </c>
      <c r="N321" s="455"/>
    </row>
    <row r="322" spans="1:14" s="413" customFormat="1" ht="56.25" customHeight="1">
      <c r="A322" s="408"/>
      <c r="B322" s="358" t="s">
        <v>75</v>
      </c>
      <c r="C322" s="409" t="s">
        <v>589</v>
      </c>
      <c r="D322" s="410" t="s">
        <v>72</v>
      </c>
      <c r="E322" s="410" t="s">
        <v>121</v>
      </c>
      <c r="F322" s="339" t="s">
        <v>248</v>
      </c>
      <c r="G322" s="309" t="s">
        <v>65</v>
      </c>
      <c r="H322" s="309" t="s">
        <v>57</v>
      </c>
      <c r="I322" s="310" t="s">
        <v>458</v>
      </c>
      <c r="J322" s="311" t="s">
        <v>76</v>
      </c>
      <c r="K322" s="412">
        <v>1002.1</v>
      </c>
      <c r="L322" s="166">
        <f>M322-K322</f>
        <v>0</v>
      </c>
      <c r="M322" s="412">
        <f>1002.1</f>
        <v>1002.1</v>
      </c>
      <c r="N322" s="455"/>
    </row>
    <row r="323" spans="1:14" s="413" customFormat="1" ht="18.75" customHeight="1">
      <c r="A323" s="408"/>
      <c r="B323" s="363" t="s">
        <v>199</v>
      </c>
      <c r="C323" s="409" t="s">
        <v>589</v>
      </c>
      <c r="D323" s="410" t="s">
        <v>86</v>
      </c>
      <c r="E323" s="410"/>
      <c r="F323" s="308"/>
      <c r="G323" s="309"/>
      <c r="H323" s="309"/>
      <c r="I323" s="364"/>
      <c r="J323" s="311"/>
      <c r="K323" s="412">
        <f t="shared" ref="K323:M326" si="64">K324</f>
        <v>13908.2</v>
      </c>
      <c r="L323" s="412">
        <f t="shared" si="64"/>
        <v>2532.3000000000002</v>
      </c>
      <c r="M323" s="412">
        <f t="shared" si="64"/>
        <v>16440.5</v>
      </c>
      <c r="N323" s="455"/>
    </row>
    <row r="324" spans="1:14" s="413" customFormat="1" ht="18.75" customHeight="1">
      <c r="A324" s="408"/>
      <c r="B324" s="363" t="s">
        <v>398</v>
      </c>
      <c r="C324" s="409" t="s">
        <v>589</v>
      </c>
      <c r="D324" s="410" t="s">
        <v>86</v>
      </c>
      <c r="E324" s="410" t="s">
        <v>59</v>
      </c>
      <c r="F324" s="308"/>
      <c r="G324" s="309"/>
      <c r="H324" s="309"/>
      <c r="I324" s="364"/>
      <c r="J324" s="311"/>
      <c r="K324" s="412">
        <f t="shared" si="64"/>
        <v>13908.2</v>
      </c>
      <c r="L324" s="412">
        <f t="shared" si="64"/>
        <v>2532.3000000000002</v>
      </c>
      <c r="M324" s="412">
        <f t="shared" si="64"/>
        <v>16440.5</v>
      </c>
      <c r="N324" s="455"/>
    </row>
    <row r="325" spans="1:14" s="413" customFormat="1" ht="78.75" customHeight="1">
      <c r="A325" s="408"/>
      <c r="B325" s="420" t="s">
        <v>397</v>
      </c>
      <c r="C325" s="409" t="s">
        <v>589</v>
      </c>
      <c r="D325" s="410" t="s">
        <v>86</v>
      </c>
      <c r="E325" s="410" t="s">
        <v>59</v>
      </c>
      <c r="F325" s="308" t="s">
        <v>125</v>
      </c>
      <c r="G325" s="309" t="s">
        <v>62</v>
      </c>
      <c r="H325" s="309" t="s">
        <v>63</v>
      </c>
      <c r="I325" s="364" t="s">
        <v>64</v>
      </c>
      <c r="J325" s="311"/>
      <c r="K325" s="412">
        <f t="shared" si="64"/>
        <v>13908.2</v>
      </c>
      <c r="L325" s="412">
        <f t="shared" si="64"/>
        <v>2532.3000000000002</v>
      </c>
      <c r="M325" s="412">
        <f t="shared" si="64"/>
        <v>16440.5</v>
      </c>
      <c r="N325" s="455"/>
    </row>
    <row r="326" spans="1:14" s="413" customFormat="1" ht="56.25" customHeight="1">
      <c r="A326" s="408"/>
      <c r="B326" s="358" t="s">
        <v>399</v>
      </c>
      <c r="C326" s="409" t="s">
        <v>589</v>
      </c>
      <c r="D326" s="410" t="s">
        <v>86</v>
      </c>
      <c r="E326" s="410" t="s">
        <v>59</v>
      </c>
      <c r="F326" s="308" t="s">
        <v>125</v>
      </c>
      <c r="G326" s="309" t="s">
        <v>65</v>
      </c>
      <c r="H326" s="309" t="s">
        <v>63</v>
      </c>
      <c r="I326" s="364" t="s">
        <v>64</v>
      </c>
      <c r="J326" s="311"/>
      <c r="K326" s="412">
        <f t="shared" si="64"/>
        <v>13908.2</v>
      </c>
      <c r="L326" s="412">
        <f t="shared" si="64"/>
        <v>2532.3000000000002</v>
      </c>
      <c r="M326" s="412">
        <f t="shared" si="64"/>
        <v>16440.5</v>
      </c>
      <c r="N326" s="455"/>
    </row>
    <row r="327" spans="1:14" s="413" customFormat="1" ht="56.25" customHeight="1">
      <c r="A327" s="408"/>
      <c r="B327" s="358" t="s">
        <v>460</v>
      </c>
      <c r="C327" s="409" t="s">
        <v>589</v>
      </c>
      <c r="D327" s="410" t="s">
        <v>86</v>
      </c>
      <c r="E327" s="410" t="s">
        <v>59</v>
      </c>
      <c r="F327" s="308" t="s">
        <v>125</v>
      </c>
      <c r="G327" s="309" t="s">
        <v>65</v>
      </c>
      <c r="H327" s="309" t="s">
        <v>57</v>
      </c>
      <c r="I327" s="364" t="s">
        <v>64</v>
      </c>
      <c r="J327" s="311"/>
      <c r="K327" s="412">
        <f>+K330+K328</f>
        <v>13908.2</v>
      </c>
      <c r="L327" s="412">
        <f>+L330+L328</f>
        <v>2532.3000000000002</v>
      </c>
      <c r="M327" s="412">
        <f>+M330+M328</f>
        <v>16440.5</v>
      </c>
      <c r="N327" s="455"/>
    </row>
    <row r="328" spans="1:14" s="413" customFormat="1" ht="56.25" customHeight="1">
      <c r="A328" s="408"/>
      <c r="B328" s="358" t="s">
        <v>766</v>
      </c>
      <c r="C328" s="409" t="s">
        <v>589</v>
      </c>
      <c r="D328" s="410" t="s">
        <v>86</v>
      </c>
      <c r="E328" s="410" t="s">
        <v>59</v>
      </c>
      <c r="F328" s="308" t="s">
        <v>125</v>
      </c>
      <c r="G328" s="309" t="s">
        <v>65</v>
      </c>
      <c r="H328" s="309" t="s">
        <v>57</v>
      </c>
      <c r="I328" s="364" t="s">
        <v>765</v>
      </c>
      <c r="J328" s="311"/>
      <c r="K328" s="412">
        <f>K329</f>
        <v>1276.5999999999999</v>
      </c>
      <c r="L328" s="412">
        <f>L329</f>
        <v>2532.3000000000002</v>
      </c>
      <c r="M328" s="412">
        <f>M329</f>
        <v>3808.9</v>
      </c>
      <c r="N328" s="455"/>
    </row>
    <row r="329" spans="1:14" s="413" customFormat="1" ht="56.25" customHeight="1">
      <c r="A329" s="408"/>
      <c r="B329" s="358" t="s">
        <v>225</v>
      </c>
      <c r="C329" s="409" t="s">
        <v>589</v>
      </c>
      <c r="D329" s="410" t="s">
        <v>86</v>
      </c>
      <c r="E329" s="410" t="s">
        <v>59</v>
      </c>
      <c r="F329" s="308" t="s">
        <v>125</v>
      </c>
      <c r="G329" s="309" t="s">
        <v>65</v>
      </c>
      <c r="H329" s="309" t="s">
        <v>57</v>
      </c>
      <c r="I329" s="364" t="s">
        <v>765</v>
      </c>
      <c r="J329" s="311" t="s">
        <v>226</v>
      </c>
      <c r="K329" s="412">
        <f>457.1+819.5</f>
        <v>1276.5999999999999</v>
      </c>
      <c r="L329" s="166">
        <f>M329-K329</f>
        <v>2532.3000000000002</v>
      </c>
      <c r="M329" s="785">
        <f>457.1+819.5+2532.3</f>
        <v>3808.9</v>
      </c>
      <c r="N329" s="455"/>
    </row>
    <row r="330" spans="1:14" s="413" customFormat="1" ht="75">
      <c r="A330" s="408"/>
      <c r="B330" s="801" t="s">
        <v>1015</v>
      </c>
      <c r="C330" s="409" t="s">
        <v>589</v>
      </c>
      <c r="D330" s="410" t="s">
        <v>86</v>
      </c>
      <c r="E330" s="410" t="s">
        <v>59</v>
      </c>
      <c r="F330" s="308" t="s">
        <v>125</v>
      </c>
      <c r="G330" s="309" t="s">
        <v>65</v>
      </c>
      <c r="H330" s="309" t="s">
        <v>57</v>
      </c>
      <c r="I330" s="364" t="s">
        <v>590</v>
      </c>
      <c r="J330" s="311"/>
      <c r="K330" s="412">
        <f>K331</f>
        <v>12631.6</v>
      </c>
      <c r="L330" s="412">
        <f>L331</f>
        <v>0</v>
      </c>
      <c r="M330" s="412">
        <f>M331</f>
        <v>12631.6</v>
      </c>
      <c r="N330" s="455"/>
    </row>
    <row r="331" spans="1:14" s="413" customFormat="1" ht="56.25" customHeight="1">
      <c r="A331" s="408"/>
      <c r="B331" s="358" t="s">
        <v>225</v>
      </c>
      <c r="C331" s="409" t="s">
        <v>589</v>
      </c>
      <c r="D331" s="410" t="s">
        <v>86</v>
      </c>
      <c r="E331" s="410" t="s">
        <v>59</v>
      </c>
      <c r="F331" s="308" t="s">
        <v>125</v>
      </c>
      <c r="G331" s="309" t="s">
        <v>65</v>
      </c>
      <c r="H331" s="309" t="s">
        <v>57</v>
      </c>
      <c r="I331" s="364" t="s">
        <v>590</v>
      </c>
      <c r="J331" s="311" t="s">
        <v>226</v>
      </c>
      <c r="K331" s="412">
        <v>12631.6</v>
      </c>
      <c r="L331" s="166">
        <f>M331-K331</f>
        <v>0</v>
      </c>
      <c r="M331" s="412">
        <v>12631.6</v>
      </c>
      <c r="N331" s="455"/>
    </row>
    <row r="332" spans="1:14" s="413" customFormat="1" ht="18.75" customHeight="1">
      <c r="A332" s="408"/>
      <c r="B332" s="307" t="s">
        <v>201</v>
      </c>
      <c r="C332" s="409" t="s">
        <v>589</v>
      </c>
      <c r="D332" s="410" t="s">
        <v>246</v>
      </c>
      <c r="E332" s="410"/>
      <c r="F332" s="308"/>
      <c r="G332" s="309"/>
      <c r="H332" s="309"/>
      <c r="I332" s="364"/>
      <c r="J332" s="311"/>
      <c r="K332" s="412">
        <f>K339+K333</f>
        <v>4308.2</v>
      </c>
      <c r="L332" s="412">
        <f>L339+L333</f>
        <v>5.0999999999999091</v>
      </c>
      <c r="M332" s="412">
        <f>M339+M333</f>
        <v>4313.2999999999993</v>
      </c>
      <c r="N332" s="455"/>
    </row>
    <row r="333" spans="1:14" s="413" customFormat="1" ht="18.75" customHeight="1">
      <c r="A333" s="408"/>
      <c r="B333" s="307" t="s">
        <v>203</v>
      </c>
      <c r="C333" s="409" t="s">
        <v>589</v>
      </c>
      <c r="D333" s="410" t="s">
        <v>246</v>
      </c>
      <c r="E333" s="410" t="s">
        <v>57</v>
      </c>
      <c r="F333" s="308"/>
      <c r="G333" s="309"/>
      <c r="H333" s="309"/>
      <c r="I333" s="310"/>
      <c r="J333" s="311"/>
      <c r="K333" s="412">
        <f t="shared" ref="K333:M337" si="65">K334</f>
        <v>4067.7</v>
      </c>
      <c r="L333" s="412">
        <f t="shared" si="65"/>
        <v>5.0999999999999091</v>
      </c>
      <c r="M333" s="412">
        <f t="shared" si="65"/>
        <v>4072.7999999999997</v>
      </c>
      <c r="N333" s="455"/>
    </row>
    <row r="334" spans="1:14" s="413" customFormat="1" ht="56.25" customHeight="1">
      <c r="A334" s="408"/>
      <c r="B334" s="307" t="s">
        <v>726</v>
      </c>
      <c r="C334" s="409" t="s">
        <v>589</v>
      </c>
      <c r="D334" s="410" t="s">
        <v>246</v>
      </c>
      <c r="E334" s="410" t="s">
        <v>57</v>
      </c>
      <c r="F334" s="308" t="s">
        <v>59</v>
      </c>
      <c r="G334" s="309" t="s">
        <v>62</v>
      </c>
      <c r="H334" s="309" t="s">
        <v>63</v>
      </c>
      <c r="I334" s="310" t="s">
        <v>64</v>
      </c>
      <c r="J334" s="311"/>
      <c r="K334" s="412">
        <f t="shared" si="65"/>
        <v>4067.7</v>
      </c>
      <c r="L334" s="412">
        <f t="shared" si="65"/>
        <v>5.0999999999999091</v>
      </c>
      <c r="M334" s="412">
        <f t="shared" si="65"/>
        <v>4072.7999999999997</v>
      </c>
      <c r="N334" s="455"/>
    </row>
    <row r="335" spans="1:14" s="413" customFormat="1" ht="36.6" customHeight="1">
      <c r="A335" s="408"/>
      <c r="B335" s="307" t="s">
        <v>228</v>
      </c>
      <c r="C335" s="409" t="s">
        <v>589</v>
      </c>
      <c r="D335" s="410" t="s">
        <v>246</v>
      </c>
      <c r="E335" s="410" t="s">
        <v>57</v>
      </c>
      <c r="F335" s="308" t="s">
        <v>59</v>
      </c>
      <c r="G335" s="309" t="s">
        <v>65</v>
      </c>
      <c r="H335" s="309" t="s">
        <v>63</v>
      </c>
      <c r="I335" s="310" t="s">
        <v>64</v>
      </c>
      <c r="J335" s="311"/>
      <c r="K335" s="412">
        <f t="shared" si="65"/>
        <v>4067.7</v>
      </c>
      <c r="L335" s="412">
        <f t="shared" si="65"/>
        <v>5.0999999999999091</v>
      </c>
      <c r="M335" s="412">
        <f t="shared" si="65"/>
        <v>4072.7999999999997</v>
      </c>
      <c r="N335" s="455"/>
    </row>
    <row r="336" spans="1:14" s="413" customFormat="1" ht="37.5" customHeight="1">
      <c r="A336" s="408"/>
      <c r="B336" s="307" t="s">
        <v>307</v>
      </c>
      <c r="C336" s="409" t="s">
        <v>589</v>
      </c>
      <c r="D336" s="410" t="s">
        <v>246</v>
      </c>
      <c r="E336" s="410" t="s">
        <v>57</v>
      </c>
      <c r="F336" s="308" t="s">
        <v>59</v>
      </c>
      <c r="G336" s="309" t="s">
        <v>65</v>
      </c>
      <c r="H336" s="309" t="s">
        <v>57</v>
      </c>
      <c r="I336" s="364" t="s">
        <v>64</v>
      </c>
      <c r="J336" s="311"/>
      <c r="K336" s="412">
        <f>K337</f>
        <v>4067.7</v>
      </c>
      <c r="L336" s="412">
        <f>L337</f>
        <v>5.0999999999999091</v>
      </c>
      <c r="M336" s="412">
        <f>M337</f>
        <v>4072.7999999999997</v>
      </c>
      <c r="N336" s="455"/>
    </row>
    <row r="337" spans="1:14" s="413" customFormat="1" ht="37.5" customHeight="1">
      <c r="A337" s="408"/>
      <c r="B337" s="164" t="s">
        <v>230</v>
      </c>
      <c r="C337" s="409" t="s">
        <v>589</v>
      </c>
      <c r="D337" s="410" t="s">
        <v>246</v>
      </c>
      <c r="E337" s="410" t="s">
        <v>57</v>
      </c>
      <c r="F337" s="308" t="s">
        <v>59</v>
      </c>
      <c r="G337" s="309" t="s">
        <v>65</v>
      </c>
      <c r="H337" s="309" t="s">
        <v>57</v>
      </c>
      <c r="I337" s="364" t="s">
        <v>314</v>
      </c>
      <c r="J337" s="311"/>
      <c r="K337" s="412">
        <f t="shared" si="65"/>
        <v>4067.7</v>
      </c>
      <c r="L337" s="412">
        <f t="shared" si="65"/>
        <v>5.0999999999999091</v>
      </c>
      <c r="M337" s="412">
        <f t="shared" si="65"/>
        <v>4072.7999999999997</v>
      </c>
      <c r="N337" s="455"/>
    </row>
    <row r="338" spans="1:14" s="413" customFormat="1" ht="56.25" customHeight="1">
      <c r="A338" s="408"/>
      <c r="B338" s="307" t="s">
        <v>225</v>
      </c>
      <c r="C338" s="409" t="s">
        <v>589</v>
      </c>
      <c r="D338" s="410" t="s">
        <v>246</v>
      </c>
      <c r="E338" s="410" t="s">
        <v>57</v>
      </c>
      <c r="F338" s="308" t="s">
        <v>59</v>
      </c>
      <c r="G338" s="309" t="s">
        <v>65</v>
      </c>
      <c r="H338" s="309" t="s">
        <v>57</v>
      </c>
      <c r="I338" s="364" t="s">
        <v>314</v>
      </c>
      <c r="J338" s="311" t="s">
        <v>226</v>
      </c>
      <c r="K338" s="412">
        <v>4067.7</v>
      </c>
      <c r="L338" s="166">
        <f>M338-K338</f>
        <v>5.0999999999999091</v>
      </c>
      <c r="M338" s="785">
        <f>4067.7+5.1</f>
        <v>4072.7999999999997</v>
      </c>
      <c r="N338" s="455"/>
    </row>
    <row r="339" spans="1:14" s="413" customFormat="1" ht="18.75" customHeight="1">
      <c r="A339" s="408"/>
      <c r="B339" s="307" t="s">
        <v>205</v>
      </c>
      <c r="C339" s="409" t="s">
        <v>589</v>
      </c>
      <c r="D339" s="410" t="s">
        <v>246</v>
      </c>
      <c r="E339" s="410" t="s">
        <v>59</v>
      </c>
      <c r="F339" s="308"/>
      <c r="G339" s="309"/>
      <c r="H339" s="309"/>
      <c r="I339" s="364"/>
      <c r="J339" s="311"/>
      <c r="K339" s="412">
        <f t="shared" ref="K339:M343" si="66">K340</f>
        <v>240.5</v>
      </c>
      <c r="L339" s="412">
        <f t="shared" si="66"/>
        <v>0</v>
      </c>
      <c r="M339" s="412">
        <f t="shared" si="66"/>
        <v>240.5</v>
      </c>
      <c r="N339" s="455"/>
    </row>
    <row r="340" spans="1:14" s="413" customFormat="1" ht="56.25" customHeight="1">
      <c r="A340" s="408"/>
      <c r="B340" s="307" t="s">
        <v>227</v>
      </c>
      <c r="C340" s="409" t="s">
        <v>589</v>
      </c>
      <c r="D340" s="410" t="s">
        <v>246</v>
      </c>
      <c r="E340" s="410" t="s">
        <v>59</v>
      </c>
      <c r="F340" s="308" t="s">
        <v>59</v>
      </c>
      <c r="G340" s="309" t="s">
        <v>62</v>
      </c>
      <c r="H340" s="309" t="s">
        <v>63</v>
      </c>
      <c r="I340" s="310" t="s">
        <v>64</v>
      </c>
      <c r="J340" s="311"/>
      <c r="K340" s="412">
        <f t="shared" si="66"/>
        <v>240.5</v>
      </c>
      <c r="L340" s="412">
        <f t="shared" si="66"/>
        <v>0</v>
      </c>
      <c r="M340" s="412">
        <f t="shared" si="66"/>
        <v>240.5</v>
      </c>
      <c r="N340" s="455"/>
    </row>
    <row r="341" spans="1:14" s="413" customFormat="1" ht="37.5" customHeight="1">
      <c r="A341" s="408"/>
      <c r="B341" s="307" t="s">
        <v>228</v>
      </c>
      <c r="C341" s="409" t="s">
        <v>589</v>
      </c>
      <c r="D341" s="410" t="s">
        <v>246</v>
      </c>
      <c r="E341" s="410" t="s">
        <v>59</v>
      </c>
      <c r="F341" s="308" t="s">
        <v>59</v>
      </c>
      <c r="G341" s="309" t="s">
        <v>65</v>
      </c>
      <c r="H341" s="309" t="s">
        <v>63</v>
      </c>
      <c r="I341" s="310" t="s">
        <v>64</v>
      </c>
      <c r="J341" s="311"/>
      <c r="K341" s="412">
        <f t="shared" si="66"/>
        <v>240.5</v>
      </c>
      <c r="L341" s="412">
        <f t="shared" si="66"/>
        <v>0</v>
      </c>
      <c r="M341" s="412">
        <f t="shared" si="66"/>
        <v>240.5</v>
      </c>
      <c r="N341" s="455"/>
    </row>
    <row r="342" spans="1:14" s="413" customFormat="1" ht="18.75" customHeight="1">
      <c r="A342" s="408"/>
      <c r="B342" s="307" t="s">
        <v>312</v>
      </c>
      <c r="C342" s="409" t="s">
        <v>589</v>
      </c>
      <c r="D342" s="410" t="s">
        <v>246</v>
      </c>
      <c r="E342" s="410" t="s">
        <v>59</v>
      </c>
      <c r="F342" s="308" t="s">
        <v>59</v>
      </c>
      <c r="G342" s="309" t="s">
        <v>65</v>
      </c>
      <c r="H342" s="309" t="s">
        <v>59</v>
      </c>
      <c r="I342" s="310" t="s">
        <v>64</v>
      </c>
      <c r="J342" s="311"/>
      <c r="K342" s="412">
        <f t="shared" si="66"/>
        <v>240.5</v>
      </c>
      <c r="L342" s="412">
        <f t="shared" si="66"/>
        <v>0</v>
      </c>
      <c r="M342" s="412">
        <f t="shared" si="66"/>
        <v>240.5</v>
      </c>
      <c r="N342" s="455"/>
    </row>
    <row r="343" spans="1:14" s="413" customFormat="1" ht="37.5" customHeight="1">
      <c r="A343" s="408"/>
      <c r="B343" s="307" t="s">
        <v>230</v>
      </c>
      <c r="C343" s="409" t="s">
        <v>589</v>
      </c>
      <c r="D343" s="410" t="s">
        <v>246</v>
      </c>
      <c r="E343" s="410" t="s">
        <v>59</v>
      </c>
      <c r="F343" s="308" t="s">
        <v>59</v>
      </c>
      <c r="G343" s="309" t="s">
        <v>65</v>
      </c>
      <c r="H343" s="309" t="s">
        <v>59</v>
      </c>
      <c r="I343" s="310" t="s">
        <v>314</v>
      </c>
      <c r="J343" s="311"/>
      <c r="K343" s="412">
        <f t="shared" si="66"/>
        <v>240.5</v>
      </c>
      <c r="L343" s="412">
        <f t="shared" si="66"/>
        <v>0</v>
      </c>
      <c r="M343" s="412">
        <f t="shared" si="66"/>
        <v>240.5</v>
      </c>
      <c r="N343" s="455"/>
    </row>
    <row r="344" spans="1:14" s="413" customFormat="1" ht="56.25" customHeight="1">
      <c r="A344" s="408"/>
      <c r="B344" s="307" t="s">
        <v>225</v>
      </c>
      <c r="C344" s="409" t="s">
        <v>589</v>
      </c>
      <c r="D344" s="410" t="s">
        <v>246</v>
      </c>
      <c r="E344" s="410" t="s">
        <v>59</v>
      </c>
      <c r="F344" s="308" t="s">
        <v>59</v>
      </c>
      <c r="G344" s="309" t="s">
        <v>65</v>
      </c>
      <c r="H344" s="309" t="s">
        <v>59</v>
      </c>
      <c r="I344" s="310" t="s">
        <v>314</v>
      </c>
      <c r="J344" s="311" t="s">
        <v>226</v>
      </c>
      <c r="K344" s="534">
        <f>1322.9-1082.4</f>
        <v>240.5</v>
      </c>
      <c r="L344" s="166">
        <f>M344-K344</f>
        <v>0</v>
      </c>
      <c r="M344" s="534">
        <f>1322.9-1082.4</f>
        <v>240.5</v>
      </c>
      <c r="N344" s="455"/>
    </row>
    <row r="345" spans="1:14" s="424" customFormat="1" ht="18.75" customHeight="1">
      <c r="A345" s="421"/>
      <c r="B345" s="422" t="s">
        <v>140</v>
      </c>
      <c r="C345" s="423" t="s">
        <v>589</v>
      </c>
      <c r="D345" s="362" t="s">
        <v>125</v>
      </c>
      <c r="E345" s="410"/>
      <c r="F345" s="359"/>
      <c r="G345" s="360"/>
      <c r="H345" s="360"/>
      <c r="I345" s="361"/>
      <c r="J345" s="362"/>
      <c r="K345" s="474">
        <f t="shared" ref="K345:M348" si="67">K346</f>
        <v>43295.199999999997</v>
      </c>
      <c r="L345" s="474">
        <f t="shared" si="67"/>
        <v>9277.5999999999967</v>
      </c>
      <c r="M345" s="474">
        <f t="shared" si="67"/>
        <v>52572.799999999996</v>
      </c>
    </row>
    <row r="346" spans="1:14" s="424" customFormat="1" ht="18.75" customHeight="1">
      <c r="A346" s="421"/>
      <c r="B346" s="358" t="s">
        <v>215</v>
      </c>
      <c r="C346" s="423" t="s">
        <v>589</v>
      </c>
      <c r="D346" s="362" t="s">
        <v>125</v>
      </c>
      <c r="E346" s="362" t="s">
        <v>72</v>
      </c>
      <c r="F346" s="359"/>
      <c r="G346" s="360"/>
      <c r="H346" s="360"/>
      <c r="I346" s="361"/>
      <c r="J346" s="362"/>
      <c r="K346" s="474">
        <f t="shared" si="67"/>
        <v>43295.199999999997</v>
      </c>
      <c r="L346" s="474">
        <f t="shared" si="67"/>
        <v>9277.5999999999967</v>
      </c>
      <c r="M346" s="474">
        <f t="shared" si="67"/>
        <v>52572.799999999996</v>
      </c>
    </row>
    <row r="347" spans="1:14" s="424" customFormat="1" ht="56.25" customHeight="1">
      <c r="A347" s="421"/>
      <c r="B347" s="425" t="s">
        <v>252</v>
      </c>
      <c r="C347" s="423" t="s">
        <v>589</v>
      </c>
      <c r="D347" s="362" t="s">
        <v>125</v>
      </c>
      <c r="E347" s="362" t="s">
        <v>72</v>
      </c>
      <c r="F347" s="359" t="s">
        <v>100</v>
      </c>
      <c r="G347" s="360" t="s">
        <v>62</v>
      </c>
      <c r="H347" s="360" t="s">
        <v>63</v>
      </c>
      <c r="I347" s="361" t="s">
        <v>64</v>
      </c>
      <c r="J347" s="362"/>
      <c r="K347" s="474">
        <f t="shared" si="67"/>
        <v>43295.199999999997</v>
      </c>
      <c r="L347" s="474">
        <f t="shared" si="67"/>
        <v>9277.5999999999967</v>
      </c>
      <c r="M347" s="474">
        <f t="shared" si="67"/>
        <v>52572.799999999996</v>
      </c>
    </row>
    <row r="348" spans="1:14" s="424" customFormat="1" ht="37.5" customHeight="1">
      <c r="A348" s="421"/>
      <c r="B348" s="358" t="s">
        <v>404</v>
      </c>
      <c r="C348" s="423" t="s">
        <v>589</v>
      </c>
      <c r="D348" s="362" t="s">
        <v>125</v>
      </c>
      <c r="E348" s="362" t="s">
        <v>72</v>
      </c>
      <c r="F348" s="359" t="s">
        <v>100</v>
      </c>
      <c r="G348" s="360" t="s">
        <v>65</v>
      </c>
      <c r="H348" s="360" t="s">
        <v>63</v>
      </c>
      <c r="I348" s="361" t="s">
        <v>64</v>
      </c>
      <c r="J348" s="362"/>
      <c r="K348" s="474">
        <f t="shared" si="67"/>
        <v>43295.199999999997</v>
      </c>
      <c r="L348" s="474">
        <f t="shared" si="67"/>
        <v>9277.5999999999967</v>
      </c>
      <c r="M348" s="474">
        <f t="shared" si="67"/>
        <v>52572.799999999996</v>
      </c>
    </row>
    <row r="349" spans="1:14" s="426" customFormat="1" ht="93.75" customHeight="1">
      <c r="A349" s="421"/>
      <c r="B349" s="358" t="s">
        <v>352</v>
      </c>
      <c r="C349" s="423" t="s">
        <v>589</v>
      </c>
      <c r="D349" s="362" t="s">
        <v>125</v>
      </c>
      <c r="E349" s="362" t="s">
        <v>72</v>
      </c>
      <c r="F349" s="359" t="s">
        <v>100</v>
      </c>
      <c r="G349" s="360" t="s">
        <v>65</v>
      </c>
      <c r="H349" s="360" t="s">
        <v>59</v>
      </c>
      <c r="I349" s="361" t="s">
        <v>64</v>
      </c>
      <c r="J349" s="362"/>
      <c r="K349" s="474">
        <f>K352+K350</f>
        <v>43295.199999999997</v>
      </c>
      <c r="L349" s="474">
        <f>L352+L350</f>
        <v>9277.5999999999967</v>
      </c>
      <c r="M349" s="474">
        <f>M352+M350</f>
        <v>52572.799999999996</v>
      </c>
    </row>
    <row r="350" spans="1:14" s="413" customFormat="1" ht="110.25" customHeight="1">
      <c r="A350" s="408"/>
      <c r="B350" s="363" t="s">
        <v>591</v>
      </c>
      <c r="C350" s="409" t="s">
        <v>589</v>
      </c>
      <c r="D350" s="410" t="s">
        <v>125</v>
      </c>
      <c r="E350" s="410" t="s">
        <v>72</v>
      </c>
      <c r="F350" s="308" t="s">
        <v>100</v>
      </c>
      <c r="G350" s="309" t="s">
        <v>65</v>
      </c>
      <c r="H350" s="309" t="s">
        <v>59</v>
      </c>
      <c r="I350" s="364" t="s">
        <v>592</v>
      </c>
      <c r="J350" s="311"/>
      <c r="K350" s="412">
        <f>K351</f>
        <v>32481.8</v>
      </c>
      <c r="L350" s="412">
        <f>L351</f>
        <v>20090.999999999996</v>
      </c>
      <c r="M350" s="412">
        <f>M351</f>
        <v>52572.799999999996</v>
      </c>
      <c r="N350" s="455"/>
    </row>
    <row r="351" spans="1:14" s="413" customFormat="1" ht="56.25" customHeight="1">
      <c r="A351" s="408"/>
      <c r="B351" s="363" t="s">
        <v>225</v>
      </c>
      <c r="C351" s="409" t="s">
        <v>589</v>
      </c>
      <c r="D351" s="410" t="s">
        <v>125</v>
      </c>
      <c r="E351" s="410" t="s">
        <v>72</v>
      </c>
      <c r="F351" s="308" t="s">
        <v>100</v>
      </c>
      <c r="G351" s="309" t="s">
        <v>65</v>
      </c>
      <c r="H351" s="309" t="s">
        <v>59</v>
      </c>
      <c r="I351" s="364" t="s">
        <v>592</v>
      </c>
      <c r="J351" s="311" t="s">
        <v>226</v>
      </c>
      <c r="K351" s="412">
        <v>32481.8</v>
      </c>
      <c r="L351" s="166">
        <f>M351-K351</f>
        <v>20090.999999999996</v>
      </c>
      <c r="M351" s="785">
        <f>32481.8+10813.4+9277.6</f>
        <v>52572.799999999996</v>
      </c>
      <c r="N351" s="455"/>
    </row>
    <row r="352" spans="1:14" s="413" customFormat="1" ht="115.5" customHeight="1">
      <c r="A352" s="408"/>
      <c r="B352" s="363" t="s">
        <v>591</v>
      </c>
      <c r="C352" s="409" t="s">
        <v>589</v>
      </c>
      <c r="D352" s="410" t="s">
        <v>125</v>
      </c>
      <c r="E352" s="410" t="s">
        <v>72</v>
      </c>
      <c r="F352" s="308" t="s">
        <v>100</v>
      </c>
      <c r="G352" s="309" t="s">
        <v>65</v>
      </c>
      <c r="H352" s="309" t="s">
        <v>59</v>
      </c>
      <c r="I352" s="364" t="s">
        <v>593</v>
      </c>
      <c r="J352" s="311"/>
      <c r="K352" s="412">
        <f>K353</f>
        <v>10813.4</v>
      </c>
      <c r="L352" s="412">
        <f>L353</f>
        <v>-10813.4</v>
      </c>
      <c r="M352" s="412">
        <f>M353</f>
        <v>0</v>
      </c>
      <c r="N352" s="455"/>
    </row>
    <row r="353" spans="1:15" s="413" customFormat="1" ht="56.25" customHeight="1">
      <c r="A353" s="408"/>
      <c r="B353" s="363" t="s">
        <v>225</v>
      </c>
      <c r="C353" s="409" t="s">
        <v>589</v>
      </c>
      <c r="D353" s="410" t="s">
        <v>125</v>
      </c>
      <c r="E353" s="410" t="s">
        <v>72</v>
      </c>
      <c r="F353" s="308" t="s">
        <v>100</v>
      </c>
      <c r="G353" s="309" t="s">
        <v>65</v>
      </c>
      <c r="H353" s="309" t="s">
        <v>59</v>
      </c>
      <c r="I353" s="364" t="s">
        <v>593</v>
      </c>
      <c r="J353" s="311" t="s">
        <v>226</v>
      </c>
      <c r="K353" s="412">
        <v>10813.4</v>
      </c>
      <c r="L353" s="166">
        <f>M353-K353</f>
        <v>-10813.4</v>
      </c>
      <c r="M353" s="412">
        <f>10813.4-10813.4</f>
        <v>0</v>
      </c>
      <c r="N353" s="455"/>
    </row>
    <row r="354" spans="1:15" s="413" customFormat="1" ht="18" customHeight="1">
      <c r="A354" s="408"/>
      <c r="B354" s="363"/>
      <c r="C354" s="450"/>
      <c r="D354" s="451"/>
      <c r="E354" s="451"/>
      <c r="F354" s="452"/>
      <c r="G354" s="453"/>
      <c r="H354" s="453"/>
      <c r="I354" s="454"/>
      <c r="J354" s="451"/>
      <c r="K354" s="412"/>
      <c r="L354" s="731"/>
      <c r="M354" s="412"/>
    </row>
    <row r="355" spans="1:15" s="396" customFormat="1" ht="52.15" customHeight="1">
      <c r="A355" s="391">
        <v>5</v>
      </c>
      <c r="B355" s="158" t="s">
        <v>23</v>
      </c>
      <c r="C355" s="159" t="s">
        <v>611</v>
      </c>
      <c r="D355" s="160"/>
      <c r="E355" s="160"/>
      <c r="F355" s="161"/>
      <c r="G355" s="162"/>
      <c r="H355" s="162"/>
      <c r="I355" s="163"/>
      <c r="J355" s="160"/>
      <c r="K355" s="189">
        <f>K369+K498+K356</f>
        <v>1061117.8600000001</v>
      </c>
      <c r="L355" s="189">
        <f>L369+L498+L356</f>
        <v>8720.2999999999993</v>
      </c>
      <c r="M355" s="189">
        <f>M369+M498+M356</f>
        <v>1069838.1600000001</v>
      </c>
      <c r="N355" s="427"/>
      <c r="O355" s="427"/>
    </row>
    <row r="356" spans="1:15" s="396" customFormat="1" ht="24.75" customHeight="1">
      <c r="A356" s="391"/>
      <c r="B356" s="655" t="s">
        <v>56</v>
      </c>
      <c r="C356" s="668" t="s">
        <v>611</v>
      </c>
      <c r="D356" s="659" t="s">
        <v>57</v>
      </c>
      <c r="E356" s="301"/>
      <c r="F356" s="669"/>
      <c r="G356" s="315"/>
      <c r="H356" s="315"/>
      <c r="I356" s="316"/>
      <c r="J356" s="301"/>
      <c r="K356" s="583">
        <f t="shared" ref="K356:M357" si="68">K357</f>
        <v>290.60000000000002</v>
      </c>
      <c r="L356" s="583">
        <f t="shared" si="68"/>
        <v>0</v>
      </c>
      <c r="M356" s="583">
        <f t="shared" si="68"/>
        <v>290.60000000000002</v>
      </c>
      <c r="N356" s="427"/>
      <c r="O356" s="427"/>
    </row>
    <row r="357" spans="1:15" s="396" customFormat="1" ht="27" customHeight="1">
      <c r="A357" s="391"/>
      <c r="B357" s="655" t="s">
        <v>91</v>
      </c>
      <c r="C357" s="670" t="s">
        <v>611</v>
      </c>
      <c r="D357" s="659" t="s">
        <v>57</v>
      </c>
      <c r="E357" s="659" t="s">
        <v>92</v>
      </c>
      <c r="F357" s="669"/>
      <c r="G357" s="315"/>
      <c r="H357" s="315"/>
      <c r="I357" s="316"/>
      <c r="J357" s="301"/>
      <c r="K357" s="583">
        <f t="shared" si="68"/>
        <v>290.60000000000002</v>
      </c>
      <c r="L357" s="583">
        <f t="shared" si="68"/>
        <v>0</v>
      </c>
      <c r="M357" s="583">
        <f t="shared" si="68"/>
        <v>290.60000000000002</v>
      </c>
      <c r="N357" s="427"/>
      <c r="O357" s="427"/>
    </row>
    <row r="358" spans="1:15" s="396" customFormat="1" ht="52.15" customHeight="1">
      <c r="A358" s="391"/>
      <c r="B358" s="655" t="s">
        <v>227</v>
      </c>
      <c r="C358" s="668" t="s">
        <v>611</v>
      </c>
      <c r="D358" s="659" t="s">
        <v>57</v>
      </c>
      <c r="E358" s="659" t="s">
        <v>92</v>
      </c>
      <c r="F358" s="656" t="s">
        <v>59</v>
      </c>
      <c r="G358" s="657" t="s">
        <v>62</v>
      </c>
      <c r="H358" s="657" t="s">
        <v>63</v>
      </c>
      <c r="I358" s="658" t="s">
        <v>64</v>
      </c>
      <c r="J358" s="659"/>
      <c r="K358" s="583">
        <f>K359</f>
        <v>290.60000000000002</v>
      </c>
      <c r="L358" s="583">
        <f>L359</f>
        <v>0</v>
      </c>
      <c r="M358" s="583">
        <f>M359</f>
        <v>290.60000000000002</v>
      </c>
      <c r="N358" s="427"/>
      <c r="O358" s="427"/>
    </row>
    <row r="359" spans="1:15" s="396" customFormat="1" ht="52.15" customHeight="1">
      <c r="A359" s="391"/>
      <c r="B359" s="622" t="s">
        <v>234</v>
      </c>
      <c r="C359" s="668" t="s">
        <v>611</v>
      </c>
      <c r="D359" s="659" t="s">
        <v>57</v>
      </c>
      <c r="E359" s="659" t="s">
        <v>92</v>
      </c>
      <c r="F359" s="656" t="s">
        <v>59</v>
      </c>
      <c r="G359" s="657" t="s">
        <v>50</v>
      </c>
      <c r="H359" s="657" t="s">
        <v>63</v>
      </c>
      <c r="I359" s="658" t="s">
        <v>64</v>
      </c>
      <c r="J359" s="659"/>
      <c r="K359" s="583">
        <f>K360+K363+K366</f>
        <v>290.60000000000002</v>
      </c>
      <c r="L359" s="583">
        <f>L360+L363+L366</f>
        <v>0</v>
      </c>
      <c r="M359" s="583">
        <f>M360+M363+M366</f>
        <v>290.60000000000002</v>
      </c>
      <c r="N359" s="427"/>
      <c r="O359" s="427"/>
    </row>
    <row r="360" spans="1:15" s="396" customFormat="1" ht="36" customHeight="1">
      <c r="A360" s="391"/>
      <c r="B360" s="655" t="s">
        <v>428</v>
      </c>
      <c r="C360" s="668" t="s">
        <v>611</v>
      </c>
      <c r="D360" s="659" t="s">
        <v>57</v>
      </c>
      <c r="E360" s="659" t="s">
        <v>92</v>
      </c>
      <c r="F360" s="656" t="s">
        <v>59</v>
      </c>
      <c r="G360" s="657" t="s">
        <v>50</v>
      </c>
      <c r="H360" s="657" t="s">
        <v>84</v>
      </c>
      <c r="I360" s="658" t="s">
        <v>64</v>
      </c>
      <c r="J360" s="659"/>
      <c r="K360" s="583">
        <f t="shared" ref="K360:M361" si="69">K361</f>
        <v>162.19999999999999</v>
      </c>
      <c r="L360" s="583">
        <f t="shared" si="69"/>
        <v>0</v>
      </c>
      <c r="M360" s="583">
        <f t="shared" si="69"/>
        <v>162.19999999999999</v>
      </c>
      <c r="N360" s="427"/>
      <c r="O360" s="427"/>
    </row>
    <row r="361" spans="1:15" s="396" customFormat="1" ht="52.15" customHeight="1">
      <c r="A361" s="391"/>
      <c r="B361" s="622" t="s">
        <v>821</v>
      </c>
      <c r="C361" s="670" t="s">
        <v>611</v>
      </c>
      <c r="D361" s="659" t="s">
        <v>57</v>
      </c>
      <c r="E361" s="659" t="s">
        <v>92</v>
      </c>
      <c r="F361" s="656" t="s">
        <v>59</v>
      </c>
      <c r="G361" s="657" t="s">
        <v>50</v>
      </c>
      <c r="H361" s="657" t="s">
        <v>84</v>
      </c>
      <c r="I361" s="658" t="s">
        <v>126</v>
      </c>
      <c r="J361" s="659"/>
      <c r="K361" s="583">
        <f>K362</f>
        <v>162.19999999999999</v>
      </c>
      <c r="L361" s="583">
        <f t="shared" si="69"/>
        <v>0</v>
      </c>
      <c r="M361" s="583">
        <f>M362</f>
        <v>162.19999999999999</v>
      </c>
      <c r="N361" s="427"/>
      <c r="O361" s="427"/>
    </row>
    <row r="362" spans="1:15" s="396" customFormat="1" ht="52.15" customHeight="1">
      <c r="A362" s="391"/>
      <c r="B362" s="622" t="s">
        <v>75</v>
      </c>
      <c r="C362" s="670" t="s">
        <v>611</v>
      </c>
      <c r="D362" s="659" t="s">
        <v>57</v>
      </c>
      <c r="E362" s="659" t="s">
        <v>92</v>
      </c>
      <c r="F362" s="656" t="s">
        <v>59</v>
      </c>
      <c r="G362" s="657" t="s">
        <v>50</v>
      </c>
      <c r="H362" s="657" t="s">
        <v>84</v>
      </c>
      <c r="I362" s="658" t="s">
        <v>126</v>
      </c>
      <c r="J362" s="659" t="s">
        <v>76</v>
      </c>
      <c r="K362" s="583">
        <f>100.4+61.8</f>
        <v>162.19999999999999</v>
      </c>
      <c r="L362" s="166">
        <f>M362-K362</f>
        <v>0</v>
      </c>
      <c r="M362" s="583">
        <f>100.4+61.8</f>
        <v>162.19999999999999</v>
      </c>
      <c r="N362" s="427"/>
      <c r="O362" s="427"/>
    </row>
    <row r="363" spans="1:15" s="396" customFormat="1" ht="33.75" customHeight="1">
      <c r="A363" s="391"/>
      <c r="B363" s="622" t="s">
        <v>804</v>
      </c>
      <c r="C363" s="668" t="s">
        <v>611</v>
      </c>
      <c r="D363" s="659" t="s">
        <v>57</v>
      </c>
      <c r="E363" s="659" t="s">
        <v>92</v>
      </c>
      <c r="F363" s="656" t="s">
        <v>59</v>
      </c>
      <c r="G363" s="657" t="s">
        <v>50</v>
      </c>
      <c r="H363" s="657" t="s">
        <v>72</v>
      </c>
      <c r="I363" s="658" t="s">
        <v>64</v>
      </c>
      <c r="J363" s="659"/>
      <c r="K363" s="583">
        <f t="shared" ref="K363:M364" si="70">K364</f>
        <v>25</v>
      </c>
      <c r="L363" s="583">
        <f t="shared" si="70"/>
        <v>0</v>
      </c>
      <c r="M363" s="583">
        <f t="shared" si="70"/>
        <v>25</v>
      </c>
      <c r="N363" s="427"/>
      <c r="O363" s="427"/>
    </row>
    <row r="364" spans="1:15" s="396" customFormat="1" ht="25.5" customHeight="1">
      <c r="A364" s="391"/>
      <c r="B364" s="622" t="s">
        <v>822</v>
      </c>
      <c r="C364" s="670" t="s">
        <v>611</v>
      </c>
      <c r="D364" s="659" t="s">
        <v>57</v>
      </c>
      <c r="E364" s="659" t="s">
        <v>92</v>
      </c>
      <c r="F364" s="656" t="s">
        <v>59</v>
      </c>
      <c r="G364" s="657" t="s">
        <v>50</v>
      </c>
      <c r="H364" s="657" t="s">
        <v>72</v>
      </c>
      <c r="I364" s="658" t="s">
        <v>803</v>
      </c>
      <c r="J364" s="659"/>
      <c r="K364" s="583">
        <f t="shared" si="70"/>
        <v>25</v>
      </c>
      <c r="L364" s="583">
        <f t="shared" si="70"/>
        <v>0</v>
      </c>
      <c r="M364" s="583">
        <f t="shared" si="70"/>
        <v>25</v>
      </c>
      <c r="N364" s="427"/>
      <c r="O364" s="427"/>
    </row>
    <row r="365" spans="1:15" s="396" customFormat="1" ht="52.15" customHeight="1">
      <c r="A365" s="391"/>
      <c r="B365" s="622" t="s">
        <v>75</v>
      </c>
      <c r="C365" s="670" t="s">
        <v>611</v>
      </c>
      <c r="D365" s="659" t="s">
        <v>57</v>
      </c>
      <c r="E365" s="659" t="s">
        <v>92</v>
      </c>
      <c r="F365" s="656" t="s">
        <v>59</v>
      </c>
      <c r="G365" s="657" t="s">
        <v>50</v>
      </c>
      <c r="H365" s="657" t="s">
        <v>72</v>
      </c>
      <c r="I365" s="658" t="s">
        <v>803</v>
      </c>
      <c r="J365" s="659" t="s">
        <v>76</v>
      </c>
      <c r="K365" s="583">
        <v>25</v>
      </c>
      <c r="L365" s="166">
        <f>M365-K365</f>
        <v>0</v>
      </c>
      <c r="M365" s="583">
        <v>25</v>
      </c>
      <c r="N365" s="427"/>
      <c r="O365" s="427"/>
    </row>
    <row r="366" spans="1:15" s="396" customFormat="1" ht="37.5" customHeight="1">
      <c r="A366" s="391"/>
      <c r="B366" s="622" t="s">
        <v>818</v>
      </c>
      <c r="C366" s="670" t="s">
        <v>611</v>
      </c>
      <c r="D366" s="659" t="s">
        <v>57</v>
      </c>
      <c r="E366" s="659" t="s">
        <v>92</v>
      </c>
      <c r="F366" s="656" t="s">
        <v>59</v>
      </c>
      <c r="G366" s="657" t="s">
        <v>50</v>
      </c>
      <c r="H366" s="657" t="s">
        <v>86</v>
      </c>
      <c r="I366" s="740" t="s">
        <v>64</v>
      </c>
      <c r="J366" s="289"/>
      <c r="K366" s="583">
        <f t="shared" ref="K366:M367" si="71">K367</f>
        <v>103.4</v>
      </c>
      <c r="L366" s="583">
        <f t="shared" si="71"/>
        <v>0</v>
      </c>
      <c r="M366" s="583">
        <f t="shared" si="71"/>
        <v>103.4</v>
      </c>
      <c r="N366" s="427"/>
      <c r="O366" s="427"/>
    </row>
    <row r="367" spans="1:15" s="396" customFormat="1" ht="52.15" customHeight="1">
      <c r="A367" s="391"/>
      <c r="B367" s="622" t="s">
        <v>148</v>
      </c>
      <c r="C367" s="670" t="s">
        <v>611</v>
      </c>
      <c r="D367" s="659" t="s">
        <v>57</v>
      </c>
      <c r="E367" s="659" t="s">
        <v>92</v>
      </c>
      <c r="F367" s="656" t="s">
        <v>59</v>
      </c>
      <c r="G367" s="657" t="s">
        <v>50</v>
      </c>
      <c r="H367" s="657" t="s">
        <v>86</v>
      </c>
      <c r="I367" s="740" t="s">
        <v>111</v>
      </c>
      <c r="J367" s="289"/>
      <c r="K367" s="583">
        <f>K368</f>
        <v>103.4</v>
      </c>
      <c r="L367" s="583">
        <f t="shared" si="71"/>
        <v>0</v>
      </c>
      <c r="M367" s="583">
        <f>M368</f>
        <v>103.4</v>
      </c>
      <c r="N367" s="427"/>
      <c r="O367" s="427"/>
    </row>
    <row r="368" spans="1:15" s="396" customFormat="1" ht="52.15" customHeight="1">
      <c r="A368" s="391"/>
      <c r="B368" s="622" t="s">
        <v>75</v>
      </c>
      <c r="C368" s="670" t="s">
        <v>611</v>
      </c>
      <c r="D368" s="659" t="s">
        <v>57</v>
      </c>
      <c r="E368" s="659" t="s">
        <v>92</v>
      </c>
      <c r="F368" s="656" t="s">
        <v>59</v>
      </c>
      <c r="G368" s="657" t="s">
        <v>50</v>
      </c>
      <c r="H368" s="657" t="s">
        <v>86</v>
      </c>
      <c r="I368" s="740" t="s">
        <v>111</v>
      </c>
      <c r="J368" s="289" t="s">
        <v>76</v>
      </c>
      <c r="K368" s="583">
        <v>103.4</v>
      </c>
      <c r="L368" s="166">
        <f>M368-K368</f>
        <v>0</v>
      </c>
      <c r="M368" s="583">
        <v>103.4</v>
      </c>
      <c r="N368" s="427"/>
      <c r="O368" s="427"/>
    </row>
    <row r="369" spans="1:15" s="397" customFormat="1" ht="18" customHeight="1">
      <c r="A369" s="151"/>
      <c r="B369" s="164" t="s">
        <v>201</v>
      </c>
      <c r="C369" s="165" t="s">
        <v>611</v>
      </c>
      <c r="D369" s="150" t="s">
        <v>246</v>
      </c>
      <c r="E369" s="150"/>
      <c r="F369" s="744"/>
      <c r="G369" s="745"/>
      <c r="H369" s="745"/>
      <c r="I369" s="746"/>
      <c r="J369" s="150"/>
      <c r="K369" s="166">
        <f>K370+K394+K474+K442+K466</f>
        <v>1052793.06</v>
      </c>
      <c r="L369" s="166">
        <f>L370+L394+L474+L442+L466</f>
        <v>8720.2999999999993</v>
      </c>
      <c r="M369" s="166">
        <f>M370+M394+M474+M442+M466</f>
        <v>1061513.3600000001</v>
      </c>
      <c r="N369" s="428"/>
      <c r="O369" s="428"/>
    </row>
    <row r="370" spans="1:15" s="396" customFormat="1" ht="18" customHeight="1">
      <c r="A370" s="151"/>
      <c r="B370" s="164" t="s">
        <v>203</v>
      </c>
      <c r="C370" s="165" t="s">
        <v>611</v>
      </c>
      <c r="D370" s="150" t="s">
        <v>246</v>
      </c>
      <c r="E370" s="150" t="s">
        <v>57</v>
      </c>
      <c r="F370" s="744"/>
      <c r="G370" s="745"/>
      <c r="H370" s="745"/>
      <c r="I370" s="746"/>
      <c r="J370" s="150"/>
      <c r="K370" s="166">
        <f>K371+K389</f>
        <v>318503.09999999998</v>
      </c>
      <c r="L370" s="166">
        <f>L371+L389</f>
        <v>2072.8000000000002</v>
      </c>
      <c r="M370" s="166">
        <f>M371+M389</f>
        <v>320575.89999999997</v>
      </c>
    </row>
    <row r="371" spans="1:15" s="396" customFormat="1" ht="54" customHeight="1">
      <c r="A371" s="151"/>
      <c r="B371" s="164" t="s">
        <v>227</v>
      </c>
      <c r="C371" s="165" t="s">
        <v>611</v>
      </c>
      <c r="D371" s="150" t="s">
        <v>246</v>
      </c>
      <c r="E371" s="150" t="s">
        <v>57</v>
      </c>
      <c r="F371" s="744" t="s">
        <v>59</v>
      </c>
      <c r="G371" s="745" t="s">
        <v>62</v>
      </c>
      <c r="H371" s="745" t="s">
        <v>63</v>
      </c>
      <c r="I371" s="746" t="s">
        <v>64</v>
      </c>
      <c r="J371" s="150"/>
      <c r="K371" s="166">
        <f t="shared" ref="K371:M371" si="72">K372</f>
        <v>318451.8</v>
      </c>
      <c r="L371" s="166">
        <f t="shared" si="72"/>
        <v>2072.8000000000002</v>
      </c>
      <c r="M371" s="166">
        <f t="shared" si="72"/>
        <v>320524.59999999998</v>
      </c>
    </row>
    <row r="372" spans="1:15" s="396" customFormat="1" ht="36" customHeight="1">
      <c r="A372" s="151"/>
      <c r="B372" s="164" t="s">
        <v>228</v>
      </c>
      <c r="C372" s="165" t="s">
        <v>611</v>
      </c>
      <c r="D372" s="150" t="s">
        <v>246</v>
      </c>
      <c r="E372" s="150" t="s">
        <v>57</v>
      </c>
      <c r="F372" s="744" t="s">
        <v>59</v>
      </c>
      <c r="G372" s="745" t="s">
        <v>65</v>
      </c>
      <c r="H372" s="745" t="s">
        <v>63</v>
      </c>
      <c r="I372" s="746" t="s">
        <v>64</v>
      </c>
      <c r="J372" s="150"/>
      <c r="K372" s="166">
        <f>K373+K386</f>
        <v>318451.8</v>
      </c>
      <c r="L372" s="166">
        <f>L373+L386</f>
        <v>2072.8000000000002</v>
      </c>
      <c r="M372" s="166">
        <f>M373+M386</f>
        <v>320524.59999999998</v>
      </c>
    </row>
    <row r="373" spans="1:15" s="396" customFormat="1" ht="36" customHeight="1">
      <c r="A373" s="151"/>
      <c r="B373" s="164" t="s">
        <v>307</v>
      </c>
      <c r="C373" s="165" t="s">
        <v>611</v>
      </c>
      <c r="D373" s="150" t="s">
        <v>246</v>
      </c>
      <c r="E373" s="150" t="s">
        <v>57</v>
      </c>
      <c r="F373" s="744" t="s">
        <v>59</v>
      </c>
      <c r="G373" s="745" t="s">
        <v>65</v>
      </c>
      <c r="H373" s="745" t="s">
        <v>57</v>
      </c>
      <c r="I373" s="746" t="s">
        <v>64</v>
      </c>
      <c r="J373" s="150"/>
      <c r="K373" s="166">
        <f>K380+K382+K374+K378+K376</f>
        <v>318301.8</v>
      </c>
      <c r="L373" s="166">
        <f>L380+L382+L374+L378+L376+L384</f>
        <v>2072.8000000000002</v>
      </c>
      <c r="M373" s="166">
        <f>M380+M382+M374+M378+M376+M384</f>
        <v>320374.59999999998</v>
      </c>
      <c r="N373" s="475"/>
    </row>
    <row r="374" spans="1:15" s="392" customFormat="1" ht="37.5" customHeight="1">
      <c r="A374" s="151"/>
      <c r="B374" s="167" t="s">
        <v>800</v>
      </c>
      <c r="C374" s="165" t="s">
        <v>611</v>
      </c>
      <c r="D374" s="150" t="s">
        <v>246</v>
      </c>
      <c r="E374" s="150" t="s">
        <v>57</v>
      </c>
      <c r="F374" s="744" t="s">
        <v>59</v>
      </c>
      <c r="G374" s="745" t="s">
        <v>65</v>
      </c>
      <c r="H374" s="745" t="s">
        <v>57</v>
      </c>
      <c r="I374" s="746" t="s">
        <v>112</v>
      </c>
      <c r="J374" s="150"/>
      <c r="K374" s="166">
        <f>K375</f>
        <v>95802.1</v>
      </c>
      <c r="L374" s="166">
        <f>L375</f>
        <v>0</v>
      </c>
      <c r="M374" s="166">
        <f>M375</f>
        <v>95802.1</v>
      </c>
      <c r="N374" s="476"/>
    </row>
    <row r="375" spans="1:15" s="392" customFormat="1" ht="54" customHeight="1">
      <c r="A375" s="151"/>
      <c r="B375" s="164" t="s">
        <v>97</v>
      </c>
      <c r="C375" s="165" t="s">
        <v>611</v>
      </c>
      <c r="D375" s="150" t="s">
        <v>246</v>
      </c>
      <c r="E375" s="150" t="s">
        <v>57</v>
      </c>
      <c r="F375" s="744" t="s">
        <v>59</v>
      </c>
      <c r="G375" s="745" t="s">
        <v>65</v>
      </c>
      <c r="H375" s="745" t="s">
        <v>57</v>
      </c>
      <c r="I375" s="746" t="s">
        <v>112</v>
      </c>
      <c r="J375" s="150" t="s">
        <v>98</v>
      </c>
      <c r="K375" s="166">
        <v>95802.1</v>
      </c>
      <c r="L375" s="166">
        <f>M375-K375</f>
        <v>0</v>
      </c>
      <c r="M375" s="166">
        <v>95802.1</v>
      </c>
      <c r="N375" s="476"/>
    </row>
    <row r="376" spans="1:15" s="392" customFormat="1" ht="29.25" customHeight="1">
      <c r="A376" s="151"/>
      <c r="B376" s="164" t="s">
        <v>801</v>
      </c>
      <c r="C376" s="165" t="s">
        <v>611</v>
      </c>
      <c r="D376" s="150" t="s">
        <v>246</v>
      </c>
      <c r="E376" s="150" t="s">
        <v>57</v>
      </c>
      <c r="F376" s="744" t="s">
        <v>59</v>
      </c>
      <c r="G376" s="745" t="s">
        <v>65</v>
      </c>
      <c r="H376" s="745" t="s">
        <v>57</v>
      </c>
      <c r="I376" s="746" t="s">
        <v>479</v>
      </c>
      <c r="J376" s="150"/>
      <c r="K376" s="166">
        <f>K377</f>
        <v>1551.2</v>
      </c>
      <c r="L376" s="166">
        <f>L377</f>
        <v>652.79999999999995</v>
      </c>
      <c r="M376" s="166">
        <f>M377</f>
        <v>2204</v>
      </c>
      <c r="N376" s="476"/>
    </row>
    <row r="377" spans="1:15" s="392" customFormat="1" ht="54" customHeight="1">
      <c r="A377" s="151"/>
      <c r="B377" s="164" t="s">
        <v>97</v>
      </c>
      <c r="C377" s="165" t="s">
        <v>611</v>
      </c>
      <c r="D377" s="150" t="s">
        <v>246</v>
      </c>
      <c r="E377" s="150" t="s">
        <v>57</v>
      </c>
      <c r="F377" s="744" t="s">
        <v>59</v>
      </c>
      <c r="G377" s="745" t="s">
        <v>65</v>
      </c>
      <c r="H377" s="745" t="s">
        <v>57</v>
      </c>
      <c r="I377" s="746" t="s">
        <v>479</v>
      </c>
      <c r="J377" s="150" t="s">
        <v>98</v>
      </c>
      <c r="K377" s="166">
        <f>833+718.2</f>
        <v>1551.2</v>
      </c>
      <c r="L377" s="166">
        <f>M377-K377</f>
        <v>652.79999999999995</v>
      </c>
      <c r="M377" s="764">
        <f>833+718.2+311.3+223.5+118</f>
        <v>2204</v>
      </c>
      <c r="N377" s="476"/>
    </row>
    <row r="378" spans="1:15" s="396" customFormat="1" ht="54" customHeight="1">
      <c r="A378" s="151"/>
      <c r="B378" s="164" t="s">
        <v>229</v>
      </c>
      <c r="C378" s="165" t="s">
        <v>611</v>
      </c>
      <c r="D378" s="150" t="s">
        <v>246</v>
      </c>
      <c r="E378" s="150" t="s">
        <v>57</v>
      </c>
      <c r="F378" s="744" t="s">
        <v>59</v>
      </c>
      <c r="G378" s="745" t="s">
        <v>65</v>
      </c>
      <c r="H378" s="745" t="s">
        <v>57</v>
      </c>
      <c r="I378" s="746" t="s">
        <v>313</v>
      </c>
      <c r="J378" s="150"/>
      <c r="K378" s="166">
        <f>K379</f>
        <v>7747.4</v>
      </c>
      <c r="L378" s="166">
        <f>L379</f>
        <v>0</v>
      </c>
      <c r="M378" s="166">
        <f>M379</f>
        <v>7747.4</v>
      </c>
      <c r="N378" s="475"/>
    </row>
    <row r="379" spans="1:15" s="396" customFormat="1" ht="54" customHeight="1">
      <c r="A379" s="151"/>
      <c r="B379" s="164" t="s">
        <v>97</v>
      </c>
      <c r="C379" s="165" t="s">
        <v>611</v>
      </c>
      <c r="D379" s="150" t="s">
        <v>246</v>
      </c>
      <c r="E379" s="150" t="s">
        <v>57</v>
      </c>
      <c r="F379" s="744" t="s">
        <v>59</v>
      </c>
      <c r="G379" s="745" t="s">
        <v>65</v>
      </c>
      <c r="H379" s="745" t="s">
        <v>57</v>
      </c>
      <c r="I379" s="746" t="s">
        <v>313</v>
      </c>
      <c r="J379" s="150" t="s">
        <v>98</v>
      </c>
      <c r="K379" s="166">
        <v>7747.4</v>
      </c>
      <c r="L379" s="166">
        <f>M379-K379</f>
        <v>0</v>
      </c>
      <c r="M379" s="166">
        <v>7747.4</v>
      </c>
      <c r="N379" s="475"/>
    </row>
    <row r="380" spans="1:15" s="396" customFormat="1" ht="191.25" customHeight="1">
      <c r="A380" s="151"/>
      <c r="B380" s="164" t="s">
        <v>308</v>
      </c>
      <c r="C380" s="165" t="s">
        <v>611</v>
      </c>
      <c r="D380" s="150" t="s">
        <v>246</v>
      </c>
      <c r="E380" s="150" t="s">
        <v>57</v>
      </c>
      <c r="F380" s="744" t="s">
        <v>59</v>
      </c>
      <c r="G380" s="745" t="s">
        <v>65</v>
      </c>
      <c r="H380" s="745" t="s">
        <v>57</v>
      </c>
      <c r="I380" s="746" t="s">
        <v>309</v>
      </c>
      <c r="J380" s="150"/>
      <c r="K380" s="166">
        <f>K381</f>
        <v>503.3</v>
      </c>
      <c r="L380" s="166">
        <f>L381</f>
        <v>0</v>
      </c>
      <c r="M380" s="166">
        <f>M381</f>
        <v>503.3</v>
      </c>
      <c r="N380" s="475"/>
    </row>
    <row r="381" spans="1:15" s="396" customFormat="1" ht="54" customHeight="1">
      <c r="A381" s="151"/>
      <c r="B381" s="164" t="s">
        <v>97</v>
      </c>
      <c r="C381" s="165" t="s">
        <v>611</v>
      </c>
      <c r="D381" s="150" t="s">
        <v>246</v>
      </c>
      <c r="E381" s="150" t="s">
        <v>57</v>
      </c>
      <c r="F381" s="744" t="s">
        <v>59</v>
      </c>
      <c r="G381" s="745" t="s">
        <v>65</v>
      </c>
      <c r="H381" s="745" t="s">
        <v>57</v>
      </c>
      <c r="I381" s="746" t="s">
        <v>309</v>
      </c>
      <c r="J381" s="150" t="s">
        <v>98</v>
      </c>
      <c r="K381" s="166">
        <v>503.3</v>
      </c>
      <c r="L381" s="166">
        <f>M381-K381</f>
        <v>0</v>
      </c>
      <c r="M381" s="166">
        <v>503.3</v>
      </c>
    </row>
    <row r="382" spans="1:15" s="396" customFormat="1" ht="117" customHeight="1">
      <c r="A382" s="151"/>
      <c r="B382" s="164" t="s">
        <v>415</v>
      </c>
      <c r="C382" s="165" t="s">
        <v>611</v>
      </c>
      <c r="D382" s="150" t="s">
        <v>246</v>
      </c>
      <c r="E382" s="150" t="s">
        <v>57</v>
      </c>
      <c r="F382" s="744" t="s">
        <v>59</v>
      </c>
      <c r="G382" s="745" t="s">
        <v>65</v>
      </c>
      <c r="H382" s="745" t="s">
        <v>57</v>
      </c>
      <c r="I382" s="746" t="s">
        <v>310</v>
      </c>
      <c r="J382" s="150"/>
      <c r="K382" s="166">
        <f>K383</f>
        <v>212697.8</v>
      </c>
      <c r="L382" s="166">
        <f>L383</f>
        <v>0</v>
      </c>
      <c r="M382" s="166">
        <f>M383</f>
        <v>212697.8</v>
      </c>
    </row>
    <row r="383" spans="1:15" s="396" customFormat="1" ht="54" customHeight="1">
      <c r="A383" s="151"/>
      <c r="B383" s="164" t="s">
        <v>97</v>
      </c>
      <c r="C383" s="165" t="s">
        <v>611</v>
      </c>
      <c r="D383" s="150" t="s">
        <v>246</v>
      </c>
      <c r="E383" s="150" t="s">
        <v>57</v>
      </c>
      <c r="F383" s="744" t="s">
        <v>59</v>
      </c>
      <c r="G383" s="745" t="s">
        <v>65</v>
      </c>
      <c r="H383" s="745" t="s">
        <v>57</v>
      </c>
      <c r="I383" s="746" t="s">
        <v>310</v>
      </c>
      <c r="J383" s="150" t="s">
        <v>98</v>
      </c>
      <c r="K383" s="166">
        <v>212697.8</v>
      </c>
      <c r="L383" s="166">
        <f>M383-K383</f>
        <v>0</v>
      </c>
      <c r="M383" s="166">
        <v>212697.8</v>
      </c>
    </row>
    <row r="384" spans="1:15" s="804" customFormat="1" ht="54" customHeight="1">
      <c r="A384" s="803"/>
      <c r="B384" s="766" t="s">
        <v>1013</v>
      </c>
      <c r="C384" s="767" t="s">
        <v>611</v>
      </c>
      <c r="D384" s="768" t="s">
        <v>246</v>
      </c>
      <c r="E384" s="768" t="s">
        <v>57</v>
      </c>
      <c r="F384" s="769" t="s">
        <v>59</v>
      </c>
      <c r="G384" s="770" t="s">
        <v>65</v>
      </c>
      <c r="H384" s="770" t="s">
        <v>57</v>
      </c>
      <c r="I384" s="771" t="s">
        <v>1014</v>
      </c>
      <c r="J384" s="768"/>
      <c r="K384" s="764"/>
      <c r="L384" s="764">
        <f>L385</f>
        <v>1420</v>
      </c>
      <c r="M384" s="764">
        <f>M385</f>
        <v>1420</v>
      </c>
    </row>
    <row r="385" spans="1:13" s="804" customFormat="1" ht="54" customHeight="1">
      <c r="A385" s="803"/>
      <c r="B385" s="766" t="s">
        <v>97</v>
      </c>
      <c r="C385" s="767" t="s">
        <v>611</v>
      </c>
      <c r="D385" s="768" t="s">
        <v>246</v>
      </c>
      <c r="E385" s="768" t="s">
        <v>57</v>
      </c>
      <c r="F385" s="769" t="s">
        <v>59</v>
      </c>
      <c r="G385" s="770" t="s">
        <v>65</v>
      </c>
      <c r="H385" s="770" t="s">
        <v>57</v>
      </c>
      <c r="I385" s="771" t="s">
        <v>1014</v>
      </c>
      <c r="J385" s="768" t="s">
        <v>98</v>
      </c>
      <c r="K385" s="764"/>
      <c r="L385" s="764">
        <f>M385-K385</f>
        <v>1420</v>
      </c>
      <c r="M385" s="764">
        <v>1420</v>
      </c>
    </row>
    <row r="386" spans="1:13" s="396" customFormat="1" ht="38.25" customHeight="1">
      <c r="A386" s="151"/>
      <c r="B386" s="164" t="s">
        <v>728</v>
      </c>
      <c r="C386" s="165" t="s">
        <v>611</v>
      </c>
      <c r="D386" s="150" t="s">
        <v>246</v>
      </c>
      <c r="E386" s="150" t="s">
        <v>57</v>
      </c>
      <c r="F386" s="744" t="s">
        <v>59</v>
      </c>
      <c r="G386" s="745" t="s">
        <v>65</v>
      </c>
      <c r="H386" s="745" t="s">
        <v>727</v>
      </c>
      <c r="I386" s="746" t="s">
        <v>64</v>
      </c>
      <c r="J386" s="150"/>
      <c r="K386" s="166">
        <f t="shared" ref="K386:M387" si="73">K387</f>
        <v>150</v>
      </c>
      <c r="L386" s="166">
        <f t="shared" si="73"/>
        <v>0</v>
      </c>
      <c r="M386" s="166">
        <f t="shared" si="73"/>
        <v>150</v>
      </c>
    </row>
    <row r="387" spans="1:13" s="396" customFormat="1" ht="54" customHeight="1">
      <c r="A387" s="151"/>
      <c r="B387" s="164" t="s">
        <v>684</v>
      </c>
      <c r="C387" s="165" t="s">
        <v>611</v>
      </c>
      <c r="D387" s="150" t="s">
        <v>246</v>
      </c>
      <c r="E387" s="150" t="s">
        <v>57</v>
      </c>
      <c r="F387" s="744" t="s">
        <v>59</v>
      </c>
      <c r="G387" s="745" t="s">
        <v>65</v>
      </c>
      <c r="H387" s="745" t="s">
        <v>727</v>
      </c>
      <c r="I387" s="746" t="s">
        <v>685</v>
      </c>
      <c r="J387" s="150"/>
      <c r="K387" s="166">
        <f t="shared" si="73"/>
        <v>150</v>
      </c>
      <c r="L387" s="166">
        <f t="shared" si="73"/>
        <v>0</v>
      </c>
      <c r="M387" s="166">
        <f t="shared" si="73"/>
        <v>150</v>
      </c>
    </row>
    <row r="388" spans="1:13" s="396" customFormat="1" ht="54" customHeight="1">
      <c r="A388" s="151"/>
      <c r="B388" s="164" t="s">
        <v>97</v>
      </c>
      <c r="C388" s="165" t="s">
        <v>611</v>
      </c>
      <c r="D388" s="150" t="s">
        <v>246</v>
      </c>
      <c r="E388" s="150" t="s">
        <v>57</v>
      </c>
      <c r="F388" s="744" t="s">
        <v>59</v>
      </c>
      <c r="G388" s="745" t="s">
        <v>65</v>
      </c>
      <c r="H388" s="745" t="s">
        <v>727</v>
      </c>
      <c r="I388" s="746" t="s">
        <v>685</v>
      </c>
      <c r="J388" s="150" t="s">
        <v>98</v>
      </c>
      <c r="K388" s="166">
        <v>150</v>
      </c>
      <c r="L388" s="166">
        <f>M388-K388</f>
        <v>0</v>
      </c>
      <c r="M388" s="166">
        <v>150</v>
      </c>
    </row>
    <row r="389" spans="1:13" s="396" customFormat="1" ht="54" customHeight="1">
      <c r="A389" s="151"/>
      <c r="B389" s="164" t="s">
        <v>255</v>
      </c>
      <c r="C389" s="165" t="s">
        <v>611</v>
      </c>
      <c r="D389" s="150" t="s">
        <v>246</v>
      </c>
      <c r="E389" s="150" t="s">
        <v>57</v>
      </c>
      <c r="F389" s="744" t="s">
        <v>256</v>
      </c>
      <c r="G389" s="745" t="s">
        <v>62</v>
      </c>
      <c r="H389" s="745" t="s">
        <v>63</v>
      </c>
      <c r="I389" s="746" t="s">
        <v>64</v>
      </c>
      <c r="J389" s="150"/>
      <c r="K389" s="166">
        <f t="shared" ref="K389:M392" si="74">K390</f>
        <v>51.3</v>
      </c>
      <c r="L389" s="166">
        <f t="shared" si="74"/>
        <v>0</v>
      </c>
      <c r="M389" s="166">
        <f t="shared" si="74"/>
        <v>51.3</v>
      </c>
    </row>
    <row r="390" spans="1:13" s="396" customFormat="1" ht="36" customHeight="1">
      <c r="A390" s="151"/>
      <c r="B390" s="164" t="s">
        <v>404</v>
      </c>
      <c r="C390" s="165" t="s">
        <v>611</v>
      </c>
      <c r="D390" s="150" t="s">
        <v>246</v>
      </c>
      <c r="E390" s="150" t="s">
        <v>57</v>
      </c>
      <c r="F390" s="744" t="s">
        <v>256</v>
      </c>
      <c r="G390" s="745" t="s">
        <v>65</v>
      </c>
      <c r="H390" s="745" t="s">
        <v>63</v>
      </c>
      <c r="I390" s="746" t="s">
        <v>64</v>
      </c>
      <c r="J390" s="150"/>
      <c r="K390" s="166">
        <f t="shared" si="74"/>
        <v>51.3</v>
      </c>
      <c r="L390" s="166">
        <f t="shared" si="74"/>
        <v>0</v>
      </c>
      <c r="M390" s="166">
        <f t="shared" si="74"/>
        <v>51.3</v>
      </c>
    </row>
    <row r="391" spans="1:13" s="396" customFormat="1" ht="57" customHeight="1">
      <c r="A391" s="151"/>
      <c r="B391" s="164" t="s">
        <v>326</v>
      </c>
      <c r="C391" s="165" t="s">
        <v>611</v>
      </c>
      <c r="D391" s="150" t="s">
        <v>246</v>
      </c>
      <c r="E391" s="150" t="s">
        <v>57</v>
      </c>
      <c r="F391" s="744" t="s">
        <v>256</v>
      </c>
      <c r="G391" s="745" t="s">
        <v>65</v>
      </c>
      <c r="H391" s="745" t="s">
        <v>57</v>
      </c>
      <c r="I391" s="746" t="s">
        <v>64</v>
      </c>
      <c r="J391" s="150"/>
      <c r="K391" s="166">
        <f t="shared" si="74"/>
        <v>51.3</v>
      </c>
      <c r="L391" s="166">
        <f>L392</f>
        <v>0</v>
      </c>
      <c r="M391" s="166">
        <f>M392</f>
        <v>51.3</v>
      </c>
    </row>
    <row r="392" spans="1:13" s="396" customFormat="1" ht="36" customHeight="1">
      <c r="A392" s="151"/>
      <c r="B392" s="164" t="s">
        <v>257</v>
      </c>
      <c r="C392" s="165" t="s">
        <v>611</v>
      </c>
      <c r="D392" s="150" t="s">
        <v>246</v>
      </c>
      <c r="E392" s="150" t="s">
        <v>57</v>
      </c>
      <c r="F392" s="744" t="s">
        <v>256</v>
      </c>
      <c r="G392" s="745" t="s">
        <v>65</v>
      </c>
      <c r="H392" s="745" t="s">
        <v>57</v>
      </c>
      <c r="I392" s="746" t="s">
        <v>320</v>
      </c>
      <c r="J392" s="150"/>
      <c r="K392" s="166">
        <f t="shared" si="74"/>
        <v>51.3</v>
      </c>
      <c r="L392" s="166">
        <f t="shared" si="74"/>
        <v>0</v>
      </c>
      <c r="M392" s="166">
        <f t="shared" si="74"/>
        <v>51.3</v>
      </c>
    </row>
    <row r="393" spans="1:13" s="396" customFormat="1" ht="54" customHeight="1">
      <c r="A393" s="151"/>
      <c r="B393" s="164" t="s">
        <v>97</v>
      </c>
      <c r="C393" s="165" t="s">
        <v>611</v>
      </c>
      <c r="D393" s="150" t="s">
        <v>246</v>
      </c>
      <c r="E393" s="150" t="s">
        <v>57</v>
      </c>
      <c r="F393" s="744" t="s">
        <v>256</v>
      </c>
      <c r="G393" s="745" t="s">
        <v>65</v>
      </c>
      <c r="H393" s="745" t="s">
        <v>57</v>
      </c>
      <c r="I393" s="746" t="s">
        <v>320</v>
      </c>
      <c r="J393" s="150" t="s">
        <v>98</v>
      </c>
      <c r="K393" s="166">
        <v>51.3</v>
      </c>
      <c r="L393" s="166">
        <f>M393-K393</f>
        <v>0</v>
      </c>
      <c r="M393" s="166">
        <v>51.3</v>
      </c>
    </row>
    <row r="394" spans="1:13" s="396" customFormat="1" ht="18" customHeight="1">
      <c r="A394" s="151"/>
      <c r="B394" s="164" t="s">
        <v>205</v>
      </c>
      <c r="C394" s="165" t="s">
        <v>611</v>
      </c>
      <c r="D394" s="150" t="s">
        <v>246</v>
      </c>
      <c r="E394" s="150" t="s">
        <v>59</v>
      </c>
      <c r="F394" s="744"/>
      <c r="G394" s="745"/>
      <c r="H394" s="745"/>
      <c r="I394" s="746"/>
      <c r="J394" s="150"/>
      <c r="K394" s="166">
        <f>K395</f>
        <v>605829.4</v>
      </c>
      <c r="L394" s="166">
        <f>L395</f>
        <v>6647.7999999999993</v>
      </c>
      <c r="M394" s="166">
        <f>M395</f>
        <v>612477.20000000007</v>
      </c>
    </row>
    <row r="395" spans="1:13" s="396" customFormat="1" ht="54" customHeight="1">
      <c r="A395" s="151"/>
      <c r="B395" s="164" t="s">
        <v>227</v>
      </c>
      <c r="C395" s="165" t="s">
        <v>611</v>
      </c>
      <c r="D395" s="150" t="s">
        <v>246</v>
      </c>
      <c r="E395" s="150" t="s">
        <v>59</v>
      </c>
      <c r="F395" s="744" t="s">
        <v>59</v>
      </c>
      <c r="G395" s="745" t="s">
        <v>62</v>
      </c>
      <c r="H395" s="745" t="s">
        <v>63</v>
      </c>
      <c r="I395" s="746" t="s">
        <v>64</v>
      </c>
      <c r="J395" s="150"/>
      <c r="K395" s="166">
        <f>K396+K437</f>
        <v>605829.4</v>
      </c>
      <c r="L395" s="166">
        <f>L396+L437</f>
        <v>6647.7999999999993</v>
      </c>
      <c r="M395" s="166">
        <f>M396+M437</f>
        <v>612477.20000000007</v>
      </c>
    </row>
    <row r="396" spans="1:13" s="396" customFormat="1" ht="36" customHeight="1">
      <c r="A396" s="151"/>
      <c r="B396" s="164" t="s">
        <v>228</v>
      </c>
      <c r="C396" s="165" t="s">
        <v>611</v>
      </c>
      <c r="D396" s="150" t="s">
        <v>246</v>
      </c>
      <c r="E396" s="150" t="s">
        <v>59</v>
      </c>
      <c r="F396" s="744" t="s">
        <v>59</v>
      </c>
      <c r="G396" s="745" t="s">
        <v>65</v>
      </c>
      <c r="H396" s="745" t="s">
        <v>63</v>
      </c>
      <c r="I396" s="746" t="s">
        <v>64</v>
      </c>
      <c r="J396" s="150"/>
      <c r="K396" s="166">
        <f>K397+K434</f>
        <v>603471.4</v>
      </c>
      <c r="L396" s="166">
        <f>L397+L434</f>
        <v>6647.7999999999993</v>
      </c>
      <c r="M396" s="166">
        <f>M397+M434</f>
        <v>610119.20000000007</v>
      </c>
    </row>
    <row r="397" spans="1:13" s="396" customFormat="1" ht="18.75" customHeight="1">
      <c r="A397" s="151"/>
      <c r="B397" s="164" t="s">
        <v>312</v>
      </c>
      <c r="C397" s="165" t="s">
        <v>611</v>
      </c>
      <c r="D397" s="150" t="s">
        <v>246</v>
      </c>
      <c r="E397" s="150" t="s">
        <v>59</v>
      </c>
      <c r="F397" s="744" t="s">
        <v>59</v>
      </c>
      <c r="G397" s="745" t="s">
        <v>65</v>
      </c>
      <c r="H397" s="745" t="s">
        <v>59</v>
      </c>
      <c r="I397" s="746" t="s">
        <v>64</v>
      </c>
      <c r="J397" s="150"/>
      <c r="K397" s="166">
        <f>K406+K409+K417+K421+K425+K398+K403+K431+K414</f>
        <v>603171.4</v>
      </c>
      <c r="L397" s="166">
        <f>L406+L409+L417+L421+L425+L398+L403+L431+L414+L428</f>
        <v>6647.7999999999993</v>
      </c>
      <c r="M397" s="166">
        <f>M406+M409+M417+M421+M425+M398+M403+M431+M414+M428</f>
        <v>609819.20000000007</v>
      </c>
    </row>
    <row r="398" spans="1:13" s="392" customFormat="1" ht="35.25" customHeight="1">
      <c r="A398" s="151"/>
      <c r="B398" s="167" t="s">
        <v>800</v>
      </c>
      <c r="C398" s="165" t="s">
        <v>611</v>
      </c>
      <c r="D398" s="150" t="s">
        <v>246</v>
      </c>
      <c r="E398" s="150" t="s">
        <v>59</v>
      </c>
      <c r="F398" s="744" t="s">
        <v>59</v>
      </c>
      <c r="G398" s="745" t="s">
        <v>65</v>
      </c>
      <c r="H398" s="745" t="s">
        <v>59</v>
      </c>
      <c r="I398" s="746" t="s">
        <v>112</v>
      </c>
      <c r="J398" s="150"/>
      <c r="K398" s="166">
        <f>K401+K402+K400+K399</f>
        <v>57839.8</v>
      </c>
      <c r="L398" s="166">
        <f>L401+L402+L400+L399</f>
        <v>78.599999999998545</v>
      </c>
      <c r="M398" s="166">
        <f>M401+M402+M400+M399</f>
        <v>57918.400000000001</v>
      </c>
    </row>
    <row r="399" spans="1:13" s="392" customFormat="1" ht="112.5" customHeight="1">
      <c r="A399" s="151"/>
      <c r="B399" s="164" t="s">
        <v>69</v>
      </c>
      <c r="C399" s="165" t="s">
        <v>611</v>
      </c>
      <c r="D399" s="150" t="s">
        <v>246</v>
      </c>
      <c r="E399" s="150" t="s">
        <v>59</v>
      </c>
      <c r="F399" s="744" t="s">
        <v>59</v>
      </c>
      <c r="G399" s="745" t="s">
        <v>65</v>
      </c>
      <c r="H399" s="745" t="s">
        <v>59</v>
      </c>
      <c r="I399" s="746" t="s">
        <v>112</v>
      </c>
      <c r="J399" s="150" t="s">
        <v>70</v>
      </c>
      <c r="K399" s="166">
        <v>899.4</v>
      </c>
      <c r="L399" s="166">
        <f t="shared" ref="L399:L402" si="75">M399-K399</f>
        <v>0</v>
      </c>
      <c r="M399" s="166">
        <v>899.4</v>
      </c>
    </row>
    <row r="400" spans="1:13" s="392" customFormat="1" ht="56.25" customHeight="1">
      <c r="A400" s="151"/>
      <c r="B400" s="164" t="s">
        <v>75</v>
      </c>
      <c r="C400" s="165" t="s">
        <v>611</v>
      </c>
      <c r="D400" s="150" t="s">
        <v>246</v>
      </c>
      <c r="E400" s="150" t="s">
        <v>59</v>
      </c>
      <c r="F400" s="744" t="s">
        <v>59</v>
      </c>
      <c r="G400" s="745" t="s">
        <v>65</v>
      </c>
      <c r="H400" s="745" t="s">
        <v>59</v>
      </c>
      <c r="I400" s="746" t="s">
        <v>112</v>
      </c>
      <c r="J400" s="150" t="s">
        <v>76</v>
      </c>
      <c r="K400" s="166">
        <f>4103.4+3.5+15.2-30</f>
        <v>4092.0999999999995</v>
      </c>
      <c r="L400" s="166">
        <f t="shared" si="75"/>
        <v>597.5</v>
      </c>
      <c r="M400" s="764">
        <f>4103.4+3.5+15.2-30+597.5</f>
        <v>4689.5999999999995</v>
      </c>
    </row>
    <row r="401" spans="1:13" s="392" customFormat="1" ht="56.25" customHeight="1">
      <c r="A401" s="151"/>
      <c r="B401" s="164" t="s">
        <v>97</v>
      </c>
      <c r="C401" s="165" t="s">
        <v>611</v>
      </c>
      <c r="D401" s="150" t="s">
        <v>246</v>
      </c>
      <c r="E401" s="150" t="s">
        <v>59</v>
      </c>
      <c r="F401" s="744" t="s">
        <v>59</v>
      </c>
      <c r="G401" s="745" t="s">
        <v>65</v>
      </c>
      <c r="H401" s="745" t="s">
        <v>59</v>
      </c>
      <c r="I401" s="746" t="s">
        <v>112</v>
      </c>
      <c r="J401" s="150" t="s">
        <v>98</v>
      </c>
      <c r="K401" s="166">
        <f>51541.3+648</f>
        <v>52189.3</v>
      </c>
      <c r="L401" s="166">
        <f t="shared" si="75"/>
        <v>-518.90000000000146</v>
      </c>
      <c r="M401" s="764">
        <f>51541.3+648-597.5+78.6</f>
        <v>51670.400000000001</v>
      </c>
    </row>
    <row r="402" spans="1:13" s="392" customFormat="1" ht="18.75" customHeight="1">
      <c r="A402" s="151"/>
      <c r="B402" s="164" t="s">
        <v>77</v>
      </c>
      <c r="C402" s="165" t="s">
        <v>611</v>
      </c>
      <c r="D402" s="150" t="s">
        <v>246</v>
      </c>
      <c r="E402" s="150" t="s">
        <v>59</v>
      </c>
      <c r="F402" s="744" t="s">
        <v>59</v>
      </c>
      <c r="G402" s="745" t="s">
        <v>65</v>
      </c>
      <c r="H402" s="745" t="s">
        <v>59</v>
      </c>
      <c r="I402" s="746" t="s">
        <v>112</v>
      </c>
      <c r="J402" s="150" t="s">
        <v>78</v>
      </c>
      <c r="K402" s="166">
        <f>629+30</f>
        <v>659</v>
      </c>
      <c r="L402" s="166">
        <f t="shared" si="75"/>
        <v>0</v>
      </c>
      <c r="M402" s="166">
        <f>629+30</f>
        <v>659</v>
      </c>
    </row>
    <row r="403" spans="1:13" s="392" customFormat="1" ht="20.25" customHeight="1">
      <c r="A403" s="151"/>
      <c r="B403" s="164" t="s">
        <v>801</v>
      </c>
      <c r="C403" s="165" t="s">
        <v>611</v>
      </c>
      <c r="D403" s="150" t="s">
        <v>246</v>
      </c>
      <c r="E403" s="150" t="s">
        <v>59</v>
      </c>
      <c r="F403" s="744" t="s">
        <v>59</v>
      </c>
      <c r="G403" s="745" t="s">
        <v>65</v>
      </c>
      <c r="H403" s="745" t="s">
        <v>59</v>
      </c>
      <c r="I403" s="746" t="s">
        <v>479</v>
      </c>
      <c r="J403" s="150"/>
      <c r="K403" s="166">
        <f>K405+K404</f>
        <v>3561.2000000000003</v>
      </c>
      <c r="L403" s="166">
        <f>L405+L404</f>
        <v>-95.799999999999727</v>
      </c>
      <c r="M403" s="166">
        <f>M405+M404</f>
        <v>3465.4000000000005</v>
      </c>
    </row>
    <row r="404" spans="1:13" s="392" customFormat="1" ht="37.9" customHeight="1">
      <c r="A404" s="151"/>
      <c r="B404" s="164" t="s">
        <v>75</v>
      </c>
      <c r="C404" s="165" t="s">
        <v>611</v>
      </c>
      <c r="D404" s="150" t="s">
        <v>246</v>
      </c>
      <c r="E404" s="150" t="s">
        <v>59</v>
      </c>
      <c r="F404" s="744" t="s">
        <v>59</v>
      </c>
      <c r="G404" s="745" t="s">
        <v>65</v>
      </c>
      <c r="H404" s="745" t="s">
        <v>59</v>
      </c>
      <c r="I404" s="746" t="s">
        <v>479</v>
      </c>
      <c r="J404" s="150" t="s">
        <v>76</v>
      </c>
      <c r="K404" s="166">
        <v>686.1</v>
      </c>
      <c r="L404" s="166">
        <f t="shared" ref="L404:L405" si="76">M404-K404</f>
        <v>0</v>
      </c>
      <c r="M404" s="166">
        <v>686.1</v>
      </c>
    </row>
    <row r="405" spans="1:13" s="392" customFormat="1" ht="56.25" customHeight="1">
      <c r="A405" s="151"/>
      <c r="B405" s="164" t="s">
        <v>97</v>
      </c>
      <c r="C405" s="165" t="s">
        <v>611</v>
      </c>
      <c r="D405" s="150" t="s">
        <v>246</v>
      </c>
      <c r="E405" s="150" t="s">
        <v>59</v>
      </c>
      <c r="F405" s="744" t="s">
        <v>59</v>
      </c>
      <c r="G405" s="745" t="s">
        <v>65</v>
      </c>
      <c r="H405" s="745" t="s">
        <v>59</v>
      </c>
      <c r="I405" s="746" t="s">
        <v>479</v>
      </c>
      <c r="J405" s="150" t="s">
        <v>98</v>
      </c>
      <c r="K405" s="166">
        <f>2849.8+25.3</f>
        <v>2875.1000000000004</v>
      </c>
      <c r="L405" s="166">
        <f t="shared" si="76"/>
        <v>-95.799999999999727</v>
      </c>
      <c r="M405" s="764">
        <f>2849.8+25.3-256.4-340.6-517.7+406.5+173.4+439</f>
        <v>2779.3000000000006</v>
      </c>
    </row>
    <row r="406" spans="1:13" s="396" customFormat="1" ht="56.25" customHeight="1">
      <c r="A406" s="151"/>
      <c r="B406" s="164" t="s">
        <v>229</v>
      </c>
      <c r="C406" s="165" t="s">
        <v>611</v>
      </c>
      <c r="D406" s="150" t="s">
        <v>246</v>
      </c>
      <c r="E406" s="150" t="s">
        <v>59</v>
      </c>
      <c r="F406" s="744" t="s">
        <v>59</v>
      </c>
      <c r="G406" s="745" t="s">
        <v>65</v>
      </c>
      <c r="H406" s="745" t="s">
        <v>59</v>
      </c>
      <c r="I406" s="746" t="s">
        <v>313</v>
      </c>
      <c r="J406" s="150"/>
      <c r="K406" s="166">
        <f t="shared" ref="K406" si="77">SUM(K407:K408)</f>
        <v>23188.1</v>
      </c>
      <c r="L406" s="166">
        <f t="shared" ref="L406:M406" si="78">SUM(L407:L408)</f>
        <v>0</v>
      </c>
      <c r="M406" s="166">
        <f t="shared" si="78"/>
        <v>23188.1</v>
      </c>
    </row>
    <row r="407" spans="1:13" s="396" customFormat="1" ht="56.25" customHeight="1">
      <c r="A407" s="151"/>
      <c r="B407" s="164" t="s">
        <v>75</v>
      </c>
      <c r="C407" s="165" t="s">
        <v>611</v>
      </c>
      <c r="D407" s="150" t="s">
        <v>246</v>
      </c>
      <c r="E407" s="150" t="s">
        <v>59</v>
      </c>
      <c r="F407" s="744" t="s">
        <v>59</v>
      </c>
      <c r="G407" s="745" t="s">
        <v>65</v>
      </c>
      <c r="H407" s="745" t="s">
        <v>59</v>
      </c>
      <c r="I407" s="746" t="s">
        <v>313</v>
      </c>
      <c r="J407" s="150" t="s">
        <v>76</v>
      </c>
      <c r="K407" s="166">
        <v>3504</v>
      </c>
      <c r="L407" s="166">
        <f t="shared" ref="L407:L408" si="79">M407-K407</f>
        <v>0</v>
      </c>
      <c r="M407" s="166">
        <v>3504</v>
      </c>
    </row>
    <row r="408" spans="1:13" s="396" customFormat="1" ht="56.25" customHeight="1">
      <c r="A408" s="151"/>
      <c r="B408" s="164" t="s">
        <v>97</v>
      </c>
      <c r="C408" s="165" t="s">
        <v>611</v>
      </c>
      <c r="D408" s="150" t="s">
        <v>246</v>
      </c>
      <c r="E408" s="150" t="s">
        <v>59</v>
      </c>
      <c r="F408" s="744" t="s">
        <v>59</v>
      </c>
      <c r="G408" s="745" t="s">
        <v>65</v>
      </c>
      <c r="H408" s="745" t="s">
        <v>59</v>
      </c>
      <c r="I408" s="746" t="s">
        <v>313</v>
      </c>
      <c r="J408" s="150" t="s">
        <v>98</v>
      </c>
      <c r="K408" s="166">
        <v>19684.099999999999</v>
      </c>
      <c r="L408" s="166">
        <f t="shared" si="79"/>
        <v>0</v>
      </c>
      <c r="M408" s="166">
        <v>19684.099999999999</v>
      </c>
    </row>
    <row r="409" spans="1:13" s="396" customFormat="1" ht="37.5" customHeight="1">
      <c r="A409" s="151"/>
      <c r="B409" s="164" t="s">
        <v>230</v>
      </c>
      <c r="C409" s="165" t="s">
        <v>611</v>
      </c>
      <c r="D409" s="150" t="s">
        <v>246</v>
      </c>
      <c r="E409" s="150" t="s">
        <v>59</v>
      </c>
      <c r="F409" s="744" t="s">
        <v>59</v>
      </c>
      <c r="G409" s="745" t="s">
        <v>65</v>
      </c>
      <c r="H409" s="745" t="s">
        <v>59</v>
      </c>
      <c r="I409" s="746" t="s">
        <v>314</v>
      </c>
      <c r="J409" s="150"/>
      <c r="K409" s="166">
        <f>SUM(K410:K413)</f>
        <v>19779</v>
      </c>
      <c r="L409" s="166">
        <f>SUM(L410:L413)</f>
        <v>0</v>
      </c>
      <c r="M409" s="166">
        <f>SUM(M410:M413)</f>
        <v>19779</v>
      </c>
    </row>
    <row r="410" spans="1:13" s="396" customFormat="1" ht="56.25" customHeight="1">
      <c r="A410" s="151"/>
      <c r="B410" s="164" t="s">
        <v>75</v>
      </c>
      <c r="C410" s="165" t="s">
        <v>611</v>
      </c>
      <c r="D410" s="150" t="s">
        <v>246</v>
      </c>
      <c r="E410" s="150" t="s">
        <v>59</v>
      </c>
      <c r="F410" s="744" t="s">
        <v>59</v>
      </c>
      <c r="G410" s="745" t="s">
        <v>65</v>
      </c>
      <c r="H410" s="745" t="s">
        <v>59</v>
      </c>
      <c r="I410" s="746" t="s">
        <v>314</v>
      </c>
      <c r="J410" s="150" t="s">
        <v>76</v>
      </c>
      <c r="K410" s="166">
        <f>178+109.9+12.3+34.2</f>
        <v>334.4</v>
      </c>
      <c r="L410" s="166">
        <f t="shared" ref="L410:L413" si="80">M410-K410</f>
        <v>0</v>
      </c>
      <c r="M410" s="166">
        <f>178+109.9+12.3+34.2</f>
        <v>334.4</v>
      </c>
    </row>
    <row r="411" spans="1:13" s="396" customFormat="1" ht="37.5">
      <c r="A411" s="151"/>
      <c r="B411" s="164" t="s">
        <v>141</v>
      </c>
      <c r="C411" s="165" t="s">
        <v>611</v>
      </c>
      <c r="D411" s="150" t="s">
        <v>246</v>
      </c>
      <c r="E411" s="150" t="s">
        <v>59</v>
      </c>
      <c r="F411" s="744" t="s">
        <v>59</v>
      </c>
      <c r="G411" s="745" t="s">
        <v>65</v>
      </c>
      <c r="H411" s="745" t="s">
        <v>59</v>
      </c>
      <c r="I411" s="746" t="s">
        <v>314</v>
      </c>
      <c r="J411" s="150" t="s">
        <v>142</v>
      </c>
      <c r="K411" s="166">
        <f>3.1+8.3</f>
        <v>11.4</v>
      </c>
      <c r="L411" s="166">
        <f t="shared" si="80"/>
        <v>0</v>
      </c>
      <c r="M411" s="166">
        <f>3.1+8.3</f>
        <v>11.4</v>
      </c>
    </row>
    <row r="412" spans="1:13" s="396" customFormat="1" ht="56.25">
      <c r="A412" s="151"/>
      <c r="B412" s="363" t="s">
        <v>225</v>
      </c>
      <c r="C412" s="165" t="s">
        <v>611</v>
      </c>
      <c r="D412" s="150" t="s">
        <v>246</v>
      </c>
      <c r="E412" s="150" t="s">
        <v>59</v>
      </c>
      <c r="F412" s="744" t="s">
        <v>59</v>
      </c>
      <c r="G412" s="745" t="s">
        <v>65</v>
      </c>
      <c r="H412" s="745" t="s">
        <v>59</v>
      </c>
      <c r="I412" s="746" t="s">
        <v>314</v>
      </c>
      <c r="J412" s="150" t="s">
        <v>226</v>
      </c>
      <c r="K412" s="166">
        <v>3200</v>
      </c>
      <c r="L412" s="166">
        <f t="shared" si="80"/>
        <v>0</v>
      </c>
      <c r="M412" s="166">
        <v>3200</v>
      </c>
    </row>
    <row r="413" spans="1:13" s="396" customFormat="1" ht="56.25" customHeight="1">
      <c r="A413" s="151"/>
      <c r="B413" s="164" t="s">
        <v>97</v>
      </c>
      <c r="C413" s="165" t="s">
        <v>611</v>
      </c>
      <c r="D413" s="150" t="s">
        <v>246</v>
      </c>
      <c r="E413" s="150" t="s">
        <v>59</v>
      </c>
      <c r="F413" s="744" t="s">
        <v>59</v>
      </c>
      <c r="G413" s="745" t="s">
        <v>65</v>
      </c>
      <c r="H413" s="745" t="s">
        <v>59</v>
      </c>
      <c r="I413" s="746" t="s">
        <v>314</v>
      </c>
      <c r="J413" s="150" t="s">
        <v>98</v>
      </c>
      <c r="K413" s="166">
        <f>4519.4+200+5764.8-15.4+5764.4</f>
        <v>16233.2</v>
      </c>
      <c r="L413" s="166">
        <f t="shared" si="80"/>
        <v>0</v>
      </c>
      <c r="M413" s="166">
        <f>4519.4+200+5764.8-15.4+5764.4</f>
        <v>16233.2</v>
      </c>
    </row>
    <row r="414" spans="1:13" s="396" customFormat="1" ht="71.25" customHeight="1">
      <c r="A414" s="151"/>
      <c r="B414" s="164" t="s">
        <v>897</v>
      </c>
      <c r="C414" s="165" t="s">
        <v>611</v>
      </c>
      <c r="D414" s="150" t="s">
        <v>246</v>
      </c>
      <c r="E414" s="150" t="s">
        <v>59</v>
      </c>
      <c r="F414" s="744" t="s">
        <v>59</v>
      </c>
      <c r="G414" s="745" t="s">
        <v>65</v>
      </c>
      <c r="H414" s="745" t="s">
        <v>59</v>
      </c>
      <c r="I414" s="746" t="s">
        <v>896</v>
      </c>
      <c r="J414" s="150"/>
      <c r="K414" s="166">
        <f>K415+K416</f>
        <v>36560.199999999997</v>
      </c>
      <c r="L414" s="166">
        <f>L415+L416</f>
        <v>0</v>
      </c>
      <c r="M414" s="166">
        <f>M415+M416</f>
        <v>36560.199999999997</v>
      </c>
    </row>
    <row r="415" spans="1:13" s="396" customFormat="1" ht="111" customHeight="1">
      <c r="A415" s="151"/>
      <c r="B415" s="164" t="s">
        <v>69</v>
      </c>
      <c r="C415" s="165" t="s">
        <v>611</v>
      </c>
      <c r="D415" s="150" t="s">
        <v>246</v>
      </c>
      <c r="E415" s="150" t="s">
        <v>59</v>
      </c>
      <c r="F415" s="744" t="s">
        <v>59</v>
      </c>
      <c r="G415" s="745" t="s">
        <v>65</v>
      </c>
      <c r="H415" s="745" t="s">
        <v>59</v>
      </c>
      <c r="I415" s="746" t="s">
        <v>896</v>
      </c>
      <c r="J415" s="150" t="s">
        <v>70</v>
      </c>
      <c r="K415" s="166">
        <v>2968.6</v>
      </c>
      <c r="L415" s="166">
        <f t="shared" ref="L415:L416" si="81">M415-K415</f>
        <v>0</v>
      </c>
      <c r="M415" s="166">
        <v>2968.6</v>
      </c>
    </row>
    <row r="416" spans="1:13" s="396" customFormat="1" ht="56.25" customHeight="1">
      <c r="A416" s="151"/>
      <c r="B416" s="164" t="s">
        <v>97</v>
      </c>
      <c r="C416" s="165" t="s">
        <v>611</v>
      </c>
      <c r="D416" s="150" t="s">
        <v>246</v>
      </c>
      <c r="E416" s="150" t="s">
        <v>59</v>
      </c>
      <c r="F416" s="744" t="s">
        <v>59</v>
      </c>
      <c r="G416" s="745" t="s">
        <v>65</v>
      </c>
      <c r="H416" s="745" t="s">
        <v>59</v>
      </c>
      <c r="I416" s="746" t="s">
        <v>896</v>
      </c>
      <c r="J416" s="150" t="s">
        <v>98</v>
      </c>
      <c r="K416" s="166">
        <v>33591.599999999999</v>
      </c>
      <c r="L416" s="166">
        <f t="shared" si="81"/>
        <v>0</v>
      </c>
      <c r="M416" s="166">
        <v>33591.599999999999</v>
      </c>
    </row>
    <row r="417" spans="1:13" s="396" customFormat="1" ht="189" customHeight="1">
      <c r="A417" s="151"/>
      <c r="B417" s="164" t="s">
        <v>308</v>
      </c>
      <c r="C417" s="165" t="s">
        <v>611</v>
      </c>
      <c r="D417" s="150" t="s">
        <v>246</v>
      </c>
      <c r="E417" s="150" t="s">
        <v>59</v>
      </c>
      <c r="F417" s="744" t="s">
        <v>59</v>
      </c>
      <c r="G417" s="745" t="s">
        <v>65</v>
      </c>
      <c r="H417" s="745" t="s">
        <v>59</v>
      </c>
      <c r="I417" s="746" t="s">
        <v>309</v>
      </c>
      <c r="J417" s="150"/>
      <c r="K417" s="166">
        <f>SUM(K418:K420)</f>
        <v>1577.8</v>
      </c>
      <c r="L417" s="166">
        <f>SUM(L418:L420)</f>
        <v>0</v>
      </c>
      <c r="M417" s="166">
        <f>SUM(M418:M420)</f>
        <v>1577.8</v>
      </c>
    </row>
    <row r="418" spans="1:13" s="396" customFormat="1" ht="112.5" customHeight="1">
      <c r="A418" s="151"/>
      <c r="B418" s="164" t="s">
        <v>69</v>
      </c>
      <c r="C418" s="165" t="s">
        <v>611</v>
      </c>
      <c r="D418" s="150" t="s">
        <v>246</v>
      </c>
      <c r="E418" s="150" t="s">
        <v>59</v>
      </c>
      <c r="F418" s="744" t="s">
        <v>59</v>
      </c>
      <c r="G418" s="745" t="s">
        <v>65</v>
      </c>
      <c r="H418" s="745" t="s">
        <v>59</v>
      </c>
      <c r="I418" s="746" t="s">
        <v>309</v>
      </c>
      <c r="J418" s="150" t="s">
        <v>70</v>
      </c>
      <c r="K418" s="166">
        <v>115.8</v>
      </c>
      <c r="L418" s="166">
        <f t="shared" ref="L418:L420" si="82">M418-K418</f>
        <v>0</v>
      </c>
      <c r="M418" s="166">
        <v>115.8</v>
      </c>
    </row>
    <row r="419" spans="1:13" s="396" customFormat="1" ht="37.5" customHeight="1">
      <c r="A419" s="151"/>
      <c r="B419" s="164" t="s">
        <v>141</v>
      </c>
      <c r="C419" s="165" t="s">
        <v>611</v>
      </c>
      <c r="D419" s="150" t="s">
        <v>246</v>
      </c>
      <c r="E419" s="150" t="s">
        <v>59</v>
      </c>
      <c r="F419" s="744" t="s">
        <v>59</v>
      </c>
      <c r="G419" s="745" t="s">
        <v>65</v>
      </c>
      <c r="H419" s="745" t="s">
        <v>59</v>
      </c>
      <c r="I419" s="746" t="s">
        <v>309</v>
      </c>
      <c r="J419" s="150" t="s">
        <v>142</v>
      </c>
      <c r="K419" s="166">
        <v>13.9</v>
      </c>
      <c r="L419" s="166">
        <f t="shared" si="82"/>
        <v>0</v>
      </c>
      <c r="M419" s="166">
        <v>13.9</v>
      </c>
    </row>
    <row r="420" spans="1:13" s="396" customFormat="1" ht="56.25" customHeight="1">
      <c r="A420" s="151"/>
      <c r="B420" s="164" t="s">
        <v>97</v>
      </c>
      <c r="C420" s="165" t="s">
        <v>611</v>
      </c>
      <c r="D420" s="150" t="s">
        <v>246</v>
      </c>
      <c r="E420" s="150" t="s">
        <v>59</v>
      </c>
      <c r="F420" s="744" t="s">
        <v>59</v>
      </c>
      <c r="G420" s="745" t="s">
        <v>65</v>
      </c>
      <c r="H420" s="745" t="s">
        <v>59</v>
      </c>
      <c r="I420" s="746" t="s">
        <v>309</v>
      </c>
      <c r="J420" s="150" t="s">
        <v>98</v>
      </c>
      <c r="K420" s="166">
        <v>1448.1</v>
      </c>
      <c r="L420" s="166">
        <f t="shared" si="82"/>
        <v>0</v>
      </c>
      <c r="M420" s="166">
        <v>1448.1</v>
      </c>
    </row>
    <row r="421" spans="1:13" s="396" customFormat="1" ht="115.5" customHeight="1">
      <c r="A421" s="151"/>
      <c r="B421" s="164" t="s">
        <v>415</v>
      </c>
      <c r="C421" s="165" t="s">
        <v>611</v>
      </c>
      <c r="D421" s="150" t="s">
        <v>246</v>
      </c>
      <c r="E421" s="150" t="s">
        <v>59</v>
      </c>
      <c r="F421" s="744" t="s">
        <v>59</v>
      </c>
      <c r="G421" s="745" t="s">
        <v>65</v>
      </c>
      <c r="H421" s="745" t="s">
        <v>59</v>
      </c>
      <c r="I421" s="746" t="s">
        <v>310</v>
      </c>
      <c r="J421" s="150"/>
      <c r="K421" s="166">
        <f>K422+K423+K424</f>
        <v>404790.7</v>
      </c>
      <c r="L421" s="166">
        <f>L422+L423+L424</f>
        <v>0</v>
      </c>
      <c r="M421" s="166">
        <f>M422+M423+M424</f>
        <v>404790.7</v>
      </c>
    </row>
    <row r="422" spans="1:13" s="396" customFormat="1" ht="112.5" customHeight="1">
      <c r="A422" s="151"/>
      <c r="B422" s="164" t="s">
        <v>69</v>
      </c>
      <c r="C422" s="165" t="s">
        <v>611</v>
      </c>
      <c r="D422" s="150" t="s">
        <v>246</v>
      </c>
      <c r="E422" s="150" t="s">
        <v>59</v>
      </c>
      <c r="F422" s="744" t="s">
        <v>59</v>
      </c>
      <c r="G422" s="745" t="s">
        <v>65</v>
      </c>
      <c r="H422" s="745" t="s">
        <v>59</v>
      </c>
      <c r="I422" s="746" t="s">
        <v>310</v>
      </c>
      <c r="J422" s="150" t="s">
        <v>70</v>
      </c>
      <c r="K422" s="166">
        <v>27962</v>
      </c>
      <c r="L422" s="166">
        <f t="shared" ref="L422:L424" si="83">M422-K422</f>
        <v>0</v>
      </c>
      <c r="M422" s="166">
        <v>27962</v>
      </c>
    </row>
    <row r="423" spans="1:13" s="396" customFormat="1" ht="56.25" customHeight="1">
      <c r="A423" s="151"/>
      <c r="B423" s="164" t="s">
        <v>75</v>
      </c>
      <c r="C423" s="165" t="s">
        <v>611</v>
      </c>
      <c r="D423" s="150" t="s">
        <v>246</v>
      </c>
      <c r="E423" s="150" t="s">
        <v>59</v>
      </c>
      <c r="F423" s="744" t="s">
        <v>59</v>
      </c>
      <c r="G423" s="745" t="s">
        <v>65</v>
      </c>
      <c r="H423" s="745" t="s">
        <v>59</v>
      </c>
      <c r="I423" s="746" t="s">
        <v>310</v>
      </c>
      <c r="J423" s="150" t="s">
        <v>76</v>
      </c>
      <c r="K423" s="166">
        <v>1898.4</v>
      </c>
      <c r="L423" s="166">
        <f t="shared" si="83"/>
        <v>0</v>
      </c>
      <c r="M423" s="166">
        <v>1898.4</v>
      </c>
    </row>
    <row r="424" spans="1:13" s="396" customFormat="1" ht="56.25" customHeight="1">
      <c r="A424" s="151"/>
      <c r="B424" s="164" t="s">
        <v>97</v>
      </c>
      <c r="C424" s="165" t="s">
        <v>611</v>
      </c>
      <c r="D424" s="150" t="s">
        <v>246</v>
      </c>
      <c r="E424" s="150" t="s">
        <v>59</v>
      </c>
      <c r="F424" s="744" t="s">
        <v>59</v>
      </c>
      <c r="G424" s="745" t="s">
        <v>65</v>
      </c>
      <c r="H424" s="745" t="s">
        <v>59</v>
      </c>
      <c r="I424" s="746" t="s">
        <v>310</v>
      </c>
      <c r="J424" s="150" t="s">
        <v>98</v>
      </c>
      <c r="K424" s="166">
        <v>374930.3</v>
      </c>
      <c r="L424" s="166">
        <f t="shared" si="83"/>
        <v>0</v>
      </c>
      <c r="M424" s="166">
        <v>374930.3</v>
      </c>
    </row>
    <row r="425" spans="1:13" s="392" customFormat="1" ht="93.75" customHeight="1">
      <c r="A425" s="151"/>
      <c r="B425" s="164" t="s">
        <v>231</v>
      </c>
      <c r="C425" s="165" t="s">
        <v>611</v>
      </c>
      <c r="D425" s="150" t="s">
        <v>246</v>
      </c>
      <c r="E425" s="150" t="s">
        <v>59</v>
      </c>
      <c r="F425" s="744" t="s">
        <v>59</v>
      </c>
      <c r="G425" s="745" t="s">
        <v>65</v>
      </c>
      <c r="H425" s="745" t="s">
        <v>59</v>
      </c>
      <c r="I425" s="746" t="s">
        <v>315</v>
      </c>
      <c r="J425" s="150"/>
      <c r="K425" s="166">
        <f t="shared" ref="K425" si="84">SUM(K426:K427)</f>
        <v>2399</v>
      </c>
      <c r="L425" s="166">
        <f t="shared" ref="L425:M425" si="85">SUM(L426:L427)</f>
        <v>0</v>
      </c>
      <c r="M425" s="166">
        <f t="shared" si="85"/>
        <v>2399</v>
      </c>
    </row>
    <row r="426" spans="1:13" s="392" customFormat="1" ht="56.25" customHeight="1">
      <c r="A426" s="151"/>
      <c r="B426" s="164" t="s">
        <v>75</v>
      </c>
      <c r="C426" s="165" t="s">
        <v>611</v>
      </c>
      <c r="D426" s="150" t="s">
        <v>246</v>
      </c>
      <c r="E426" s="150" t="s">
        <v>59</v>
      </c>
      <c r="F426" s="744" t="s">
        <v>59</v>
      </c>
      <c r="G426" s="745" t="s">
        <v>65</v>
      </c>
      <c r="H426" s="745" t="s">
        <v>59</v>
      </c>
      <c r="I426" s="746" t="s">
        <v>315</v>
      </c>
      <c r="J426" s="150" t="s">
        <v>76</v>
      </c>
      <c r="K426" s="166">
        <v>104.8</v>
      </c>
      <c r="L426" s="166">
        <f t="shared" ref="L426:L430" si="86">M426-K426</f>
        <v>0</v>
      </c>
      <c r="M426" s="166">
        <v>104.8</v>
      </c>
    </row>
    <row r="427" spans="1:13" s="392" customFormat="1" ht="56.25" customHeight="1">
      <c r="A427" s="151"/>
      <c r="B427" s="164" t="s">
        <v>97</v>
      </c>
      <c r="C427" s="165" t="s">
        <v>611</v>
      </c>
      <c r="D427" s="150" t="s">
        <v>246</v>
      </c>
      <c r="E427" s="150" t="s">
        <v>59</v>
      </c>
      <c r="F427" s="744" t="s">
        <v>59</v>
      </c>
      <c r="G427" s="745" t="s">
        <v>65</v>
      </c>
      <c r="H427" s="745" t="s">
        <v>59</v>
      </c>
      <c r="I427" s="746" t="s">
        <v>315</v>
      </c>
      <c r="J427" s="150" t="s">
        <v>98</v>
      </c>
      <c r="K427" s="166">
        <v>2294.1999999999998</v>
      </c>
      <c r="L427" s="166">
        <f t="shared" si="86"/>
        <v>0</v>
      </c>
      <c r="M427" s="166">
        <v>2294.1999999999998</v>
      </c>
    </row>
    <row r="428" spans="1:13" s="392" customFormat="1" ht="56.25" customHeight="1">
      <c r="A428" s="151"/>
      <c r="B428" s="766" t="s">
        <v>1013</v>
      </c>
      <c r="C428" s="767" t="s">
        <v>611</v>
      </c>
      <c r="D428" s="768" t="s">
        <v>246</v>
      </c>
      <c r="E428" s="768" t="s">
        <v>59</v>
      </c>
      <c r="F428" s="769" t="s">
        <v>59</v>
      </c>
      <c r="G428" s="770" t="s">
        <v>65</v>
      </c>
      <c r="H428" s="770" t="s">
        <v>59</v>
      </c>
      <c r="I428" s="771" t="s">
        <v>1014</v>
      </c>
      <c r="J428" s="768"/>
      <c r="K428" s="764"/>
      <c r="L428" s="764">
        <f>L429+L430</f>
        <v>6665</v>
      </c>
      <c r="M428" s="764">
        <f>M429+M430</f>
        <v>6665</v>
      </c>
    </row>
    <row r="429" spans="1:13" s="392" customFormat="1" ht="56.25" customHeight="1">
      <c r="A429" s="151"/>
      <c r="B429" s="766" t="s">
        <v>75</v>
      </c>
      <c r="C429" s="767" t="s">
        <v>611</v>
      </c>
      <c r="D429" s="768" t="s">
        <v>246</v>
      </c>
      <c r="E429" s="768" t="s">
        <v>59</v>
      </c>
      <c r="F429" s="769" t="s">
        <v>59</v>
      </c>
      <c r="G429" s="770" t="s">
        <v>65</v>
      </c>
      <c r="H429" s="770" t="s">
        <v>59</v>
      </c>
      <c r="I429" s="771" t="s">
        <v>1014</v>
      </c>
      <c r="J429" s="768" t="s">
        <v>76</v>
      </c>
      <c r="K429" s="764"/>
      <c r="L429" s="764">
        <f t="shared" si="86"/>
        <v>800</v>
      </c>
      <c r="M429" s="764">
        <v>800</v>
      </c>
    </row>
    <row r="430" spans="1:13" s="392" customFormat="1" ht="56.25" customHeight="1">
      <c r="A430" s="151"/>
      <c r="B430" s="766" t="s">
        <v>97</v>
      </c>
      <c r="C430" s="767" t="s">
        <v>611</v>
      </c>
      <c r="D430" s="768" t="s">
        <v>246</v>
      </c>
      <c r="E430" s="768" t="s">
        <v>59</v>
      </c>
      <c r="F430" s="769" t="s">
        <v>59</v>
      </c>
      <c r="G430" s="770" t="s">
        <v>65</v>
      </c>
      <c r="H430" s="770" t="s">
        <v>59</v>
      </c>
      <c r="I430" s="771" t="s">
        <v>1014</v>
      </c>
      <c r="J430" s="768" t="s">
        <v>98</v>
      </c>
      <c r="K430" s="764"/>
      <c r="L430" s="764">
        <f t="shared" si="86"/>
        <v>5865</v>
      </c>
      <c r="M430" s="764">
        <v>5865</v>
      </c>
    </row>
    <row r="431" spans="1:13" s="392" customFormat="1" ht="93.75">
      <c r="A431" s="151"/>
      <c r="B431" s="164" t="s">
        <v>768</v>
      </c>
      <c r="C431" s="165" t="s">
        <v>611</v>
      </c>
      <c r="D431" s="150" t="s">
        <v>246</v>
      </c>
      <c r="E431" s="150" t="s">
        <v>59</v>
      </c>
      <c r="F431" s="744" t="s">
        <v>59</v>
      </c>
      <c r="G431" s="745" t="s">
        <v>65</v>
      </c>
      <c r="H431" s="745" t="s">
        <v>59</v>
      </c>
      <c r="I431" s="746" t="s">
        <v>767</v>
      </c>
      <c r="J431" s="150"/>
      <c r="K431" s="166">
        <f>K432+K433</f>
        <v>53475.6</v>
      </c>
      <c r="L431" s="166">
        <f>L432+L433</f>
        <v>0</v>
      </c>
      <c r="M431" s="166">
        <f>M432+M433</f>
        <v>53475.6</v>
      </c>
    </row>
    <row r="432" spans="1:13" s="392" customFormat="1" ht="56.25" customHeight="1">
      <c r="A432" s="151"/>
      <c r="B432" s="164" t="s">
        <v>75</v>
      </c>
      <c r="C432" s="165" t="s">
        <v>611</v>
      </c>
      <c r="D432" s="150" t="s">
        <v>246</v>
      </c>
      <c r="E432" s="150" t="s">
        <v>59</v>
      </c>
      <c r="F432" s="744" t="s">
        <v>59</v>
      </c>
      <c r="G432" s="745" t="s">
        <v>65</v>
      </c>
      <c r="H432" s="745" t="s">
        <v>59</v>
      </c>
      <c r="I432" s="746" t="s">
        <v>767</v>
      </c>
      <c r="J432" s="150" t="s">
        <v>76</v>
      </c>
      <c r="K432" s="166">
        <v>1613.7</v>
      </c>
      <c r="L432" s="166">
        <f t="shared" ref="L432:L433" si="87">M432-K432</f>
        <v>0</v>
      </c>
      <c r="M432" s="166">
        <v>1613.7</v>
      </c>
    </row>
    <row r="433" spans="1:13" s="392" customFormat="1" ht="56.25" customHeight="1">
      <c r="A433" s="151"/>
      <c r="B433" s="164" t="s">
        <v>97</v>
      </c>
      <c r="C433" s="165" t="s">
        <v>611</v>
      </c>
      <c r="D433" s="150" t="s">
        <v>246</v>
      </c>
      <c r="E433" s="150" t="s">
        <v>59</v>
      </c>
      <c r="F433" s="744" t="s">
        <v>59</v>
      </c>
      <c r="G433" s="745" t="s">
        <v>65</v>
      </c>
      <c r="H433" s="745" t="s">
        <v>59</v>
      </c>
      <c r="I433" s="746" t="s">
        <v>767</v>
      </c>
      <c r="J433" s="150" t="s">
        <v>98</v>
      </c>
      <c r="K433" s="166">
        <v>51861.9</v>
      </c>
      <c r="L433" s="166">
        <f t="shared" si="87"/>
        <v>0</v>
      </c>
      <c r="M433" s="166">
        <v>51861.9</v>
      </c>
    </row>
    <row r="434" spans="1:13" s="392" customFormat="1" ht="56.25" customHeight="1">
      <c r="A434" s="151"/>
      <c r="B434" s="164" t="s">
        <v>728</v>
      </c>
      <c r="C434" s="165" t="s">
        <v>611</v>
      </c>
      <c r="D434" s="150" t="s">
        <v>246</v>
      </c>
      <c r="E434" s="150" t="s">
        <v>59</v>
      </c>
      <c r="F434" s="744" t="s">
        <v>59</v>
      </c>
      <c r="G434" s="745" t="s">
        <v>65</v>
      </c>
      <c r="H434" s="745" t="s">
        <v>727</v>
      </c>
      <c r="I434" s="746" t="s">
        <v>64</v>
      </c>
      <c r="J434" s="150"/>
      <c r="K434" s="166">
        <f t="shared" ref="K434:M435" si="88">K435</f>
        <v>300</v>
      </c>
      <c r="L434" s="166">
        <f t="shared" si="88"/>
        <v>0</v>
      </c>
      <c r="M434" s="166">
        <f t="shared" si="88"/>
        <v>300</v>
      </c>
    </row>
    <row r="435" spans="1:13" s="392" customFormat="1" ht="56.25" customHeight="1">
      <c r="A435" s="151"/>
      <c r="B435" s="164" t="s">
        <v>684</v>
      </c>
      <c r="C435" s="165" t="s">
        <v>611</v>
      </c>
      <c r="D435" s="150" t="s">
        <v>246</v>
      </c>
      <c r="E435" s="150" t="s">
        <v>59</v>
      </c>
      <c r="F435" s="744" t="s">
        <v>59</v>
      </c>
      <c r="G435" s="745" t="s">
        <v>65</v>
      </c>
      <c r="H435" s="745" t="s">
        <v>727</v>
      </c>
      <c r="I435" s="746" t="s">
        <v>685</v>
      </c>
      <c r="J435" s="150"/>
      <c r="K435" s="166">
        <f t="shared" si="88"/>
        <v>300</v>
      </c>
      <c r="L435" s="166">
        <f t="shared" si="88"/>
        <v>0</v>
      </c>
      <c r="M435" s="166">
        <f t="shared" si="88"/>
        <v>300</v>
      </c>
    </row>
    <row r="436" spans="1:13" s="392" customFormat="1" ht="56.25" customHeight="1">
      <c r="A436" s="151"/>
      <c r="B436" s="164" t="s">
        <v>97</v>
      </c>
      <c r="C436" s="165" t="s">
        <v>611</v>
      </c>
      <c r="D436" s="150" t="s">
        <v>246</v>
      </c>
      <c r="E436" s="150" t="s">
        <v>59</v>
      </c>
      <c r="F436" s="744" t="s">
        <v>59</v>
      </c>
      <c r="G436" s="745" t="s">
        <v>65</v>
      </c>
      <c r="H436" s="745" t="s">
        <v>727</v>
      </c>
      <c r="I436" s="746" t="s">
        <v>685</v>
      </c>
      <c r="J436" s="150" t="s">
        <v>98</v>
      </c>
      <c r="K436" s="166">
        <v>300</v>
      </c>
      <c r="L436" s="166">
        <f>M436-K436</f>
        <v>0</v>
      </c>
      <c r="M436" s="166">
        <v>300</v>
      </c>
    </row>
    <row r="437" spans="1:13" s="396" customFormat="1" ht="56.25" customHeight="1">
      <c r="A437" s="151"/>
      <c r="B437" s="164" t="s">
        <v>234</v>
      </c>
      <c r="C437" s="165" t="s">
        <v>611</v>
      </c>
      <c r="D437" s="150" t="s">
        <v>246</v>
      </c>
      <c r="E437" s="150" t="s">
        <v>59</v>
      </c>
      <c r="F437" s="744" t="s">
        <v>59</v>
      </c>
      <c r="G437" s="745" t="s">
        <v>50</v>
      </c>
      <c r="H437" s="745" t="s">
        <v>63</v>
      </c>
      <c r="I437" s="746" t="s">
        <v>64</v>
      </c>
      <c r="J437" s="150"/>
      <c r="K437" s="166">
        <f t="shared" ref="K437:M438" si="89">K438</f>
        <v>2358</v>
      </c>
      <c r="L437" s="166">
        <f t="shared" si="89"/>
        <v>0</v>
      </c>
      <c r="M437" s="166">
        <f t="shared" si="89"/>
        <v>2358</v>
      </c>
    </row>
    <row r="438" spans="1:13" s="396" customFormat="1" ht="37.5" customHeight="1">
      <c r="A438" s="151"/>
      <c r="B438" s="164" t="s">
        <v>322</v>
      </c>
      <c r="C438" s="165" t="s">
        <v>611</v>
      </c>
      <c r="D438" s="150" t="s">
        <v>246</v>
      </c>
      <c r="E438" s="150" t="s">
        <v>59</v>
      </c>
      <c r="F438" s="744" t="s">
        <v>59</v>
      </c>
      <c r="G438" s="745" t="s">
        <v>50</v>
      </c>
      <c r="H438" s="745" t="s">
        <v>57</v>
      </c>
      <c r="I438" s="746" t="s">
        <v>64</v>
      </c>
      <c r="J438" s="150"/>
      <c r="K438" s="166">
        <f t="shared" si="89"/>
        <v>2358</v>
      </c>
      <c r="L438" s="166">
        <f t="shared" si="89"/>
        <v>0</v>
      </c>
      <c r="M438" s="166">
        <f t="shared" si="89"/>
        <v>2358</v>
      </c>
    </row>
    <row r="439" spans="1:13" s="396" customFormat="1" ht="261.75" customHeight="1">
      <c r="A439" s="151"/>
      <c r="B439" s="164" t="s">
        <v>694</v>
      </c>
      <c r="C439" s="165" t="s">
        <v>611</v>
      </c>
      <c r="D439" s="150" t="s">
        <v>246</v>
      </c>
      <c r="E439" s="150" t="s">
        <v>59</v>
      </c>
      <c r="F439" s="744" t="s">
        <v>59</v>
      </c>
      <c r="G439" s="745" t="s">
        <v>50</v>
      </c>
      <c r="H439" s="745" t="s">
        <v>57</v>
      </c>
      <c r="I439" s="746" t="s">
        <v>416</v>
      </c>
      <c r="J439" s="150"/>
      <c r="K439" s="166">
        <f>K441+K440</f>
        <v>2358</v>
      </c>
      <c r="L439" s="166">
        <f>L441+L440</f>
        <v>0</v>
      </c>
      <c r="M439" s="166">
        <f>M441+M440</f>
        <v>2358</v>
      </c>
    </row>
    <row r="440" spans="1:13" s="396" customFormat="1" ht="112.5" customHeight="1">
      <c r="A440" s="151"/>
      <c r="B440" s="164" t="s">
        <v>69</v>
      </c>
      <c r="C440" s="165" t="s">
        <v>611</v>
      </c>
      <c r="D440" s="150" t="s">
        <v>246</v>
      </c>
      <c r="E440" s="150" t="s">
        <v>59</v>
      </c>
      <c r="F440" s="744" t="s">
        <v>59</v>
      </c>
      <c r="G440" s="745" t="s">
        <v>50</v>
      </c>
      <c r="H440" s="745" t="s">
        <v>57</v>
      </c>
      <c r="I440" s="746" t="s">
        <v>416</v>
      </c>
      <c r="J440" s="150" t="s">
        <v>70</v>
      </c>
      <c r="K440" s="166">
        <v>29.8</v>
      </c>
      <c r="L440" s="166">
        <f t="shared" ref="L440:L441" si="90">M440-K440</f>
        <v>0</v>
      </c>
      <c r="M440" s="166">
        <v>29.8</v>
      </c>
    </row>
    <row r="441" spans="1:13" s="396" customFormat="1" ht="56.25" customHeight="1">
      <c r="A441" s="151"/>
      <c r="B441" s="164" t="s">
        <v>97</v>
      </c>
      <c r="C441" s="165" t="s">
        <v>611</v>
      </c>
      <c r="D441" s="150" t="s">
        <v>246</v>
      </c>
      <c r="E441" s="150" t="s">
        <v>59</v>
      </c>
      <c r="F441" s="744" t="s">
        <v>59</v>
      </c>
      <c r="G441" s="745" t="s">
        <v>50</v>
      </c>
      <c r="H441" s="745" t="s">
        <v>57</v>
      </c>
      <c r="I441" s="746" t="s">
        <v>416</v>
      </c>
      <c r="J441" s="150" t="s">
        <v>98</v>
      </c>
      <c r="K441" s="166">
        <v>2328.1999999999998</v>
      </c>
      <c r="L441" s="166">
        <f t="shared" si="90"/>
        <v>0</v>
      </c>
      <c r="M441" s="166">
        <v>2328.1999999999998</v>
      </c>
    </row>
    <row r="442" spans="1:13" s="396" customFormat="1" ht="18.75" customHeight="1">
      <c r="A442" s="151"/>
      <c r="B442" s="164" t="s">
        <v>424</v>
      </c>
      <c r="C442" s="165" t="s">
        <v>611</v>
      </c>
      <c r="D442" s="150" t="s">
        <v>246</v>
      </c>
      <c r="E442" s="150" t="s">
        <v>84</v>
      </c>
      <c r="F442" s="744"/>
      <c r="G442" s="745"/>
      <c r="H442" s="745"/>
      <c r="I442" s="746"/>
      <c r="J442" s="150"/>
      <c r="K442" s="166">
        <f>K443</f>
        <v>58817.288000000008</v>
      </c>
      <c r="L442" s="166">
        <f>L443</f>
        <v>-0.29999999999999716</v>
      </c>
      <c r="M442" s="166">
        <f>M443</f>
        <v>58816.988000000005</v>
      </c>
    </row>
    <row r="443" spans="1:13" s="396" customFormat="1" ht="56.25" customHeight="1">
      <c r="A443" s="151"/>
      <c r="B443" s="312" t="s">
        <v>227</v>
      </c>
      <c r="C443" s="165" t="s">
        <v>611</v>
      </c>
      <c r="D443" s="150" t="s">
        <v>246</v>
      </c>
      <c r="E443" s="150" t="s">
        <v>84</v>
      </c>
      <c r="F443" s="744" t="s">
        <v>59</v>
      </c>
      <c r="G443" s="745" t="s">
        <v>62</v>
      </c>
      <c r="H443" s="745" t="s">
        <v>63</v>
      </c>
      <c r="I443" s="746" t="s">
        <v>64</v>
      </c>
      <c r="J443" s="150"/>
      <c r="K443" s="166">
        <f t="shared" ref="K443:M443" si="91">K444</f>
        <v>58817.288000000008</v>
      </c>
      <c r="L443" s="166">
        <f t="shared" si="91"/>
        <v>-0.29999999999999716</v>
      </c>
      <c r="M443" s="166">
        <f t="shared" si="91"/>
        <v>58816.988000000005</v>
      </c>
    </row>
    <row r="444" spans="1:13" s="396" customFormat="1" ht="24" customHeight="1">
      <c r="A444" s="151"/>
      <c r="B444" s="164" t="s">
        <v>232</v>
      </c>
      <c r="C444" s="165" t="s">
        <v>611</v>
      </c>
      <c r="D444" s="150" t="s">
        <v>246</v>
      </c>
      <c r="E444" s="150" t="s">
        <v>84</v>
      </c>
      <c r="F444" s="744" t="s">
        <v>59</v>
      </c>
      <c r="G444" s="745" t="s">
        <v>110</v>
      </c>
      <c r="H444" s="745" t="s">
        <v>63</v>
      </c>
      <c r="I444" s="746" t="s">
        <v>64</v>
      </c>
      <c r="J444" s="150"/>
      <c r="K444" s="166">
        <f>K445+K463</f>
        <v>58817.288000000008</v>
      </c>
      <c r="L444" s="166">
        <f>L445+L463</f>
        <v>-0.29999999999999716</v>
      </c>
      <c r="M444" s="166">
        <f>M445+M463</f>
        <v>58816.988000000005</v>
      </c>
    </row>
    <row r="445" spans="1:13" s="396" customFormat="1" ht="37.5" customHeight="1">
      <c r="A445" s="151"/>
      <c r="B445" s="164" t="s">
        <v>316</v>
      </c>
      <c r="C445" s="165" t="s">
        <v>611</v>
      </c>
      <c r="D445" s="150" t="s">
        <v>246</v>
      </c>
      <c r="E445" s="150" t="s">
        <v>84</v>
      </c>
      <c r="F445" s="744" t="s">
        <v>59</v>
      </c>
      <c r="G445" s="745" t="s">
        <v>110</v>
      </c>
      <c r="H445" s="745" t="s">
        <v>57</v>
      </c>
      <c r="I445" s="746" t="s">
        <v>64</v>
      </c>
      <c r="J445" s="150"/>
      <c r="K445" s="166">
        <f>K446+K457+K459+K451+K461+K454</f>
        <v>58667.288000000008</v>
      </c>
      <c r="L445" s="166">
        <f>L446+L457+L459+L451+L461+L454</f>
        <v>-0.29999999999999716</v>
      </c>
      <c r="M445" s="166">
        <f>M446+M457+M459+M451+M461+M454</f>
        <v>58666.988000000005</v>
      </c>
    </row>
    <row r="446" spans="1:13" s="396" customFormat="1" ht="37.5" customHeight="1">
      <c r="A446" s="151"/>
      <c r="B446" s="167" t="s">
        <v>800</v>
      </c>
      <c r="C446" s="165" t="s">
        <v>611</v>
      </c>
      <c r="D446" s="150" t="s">
        <v>246</v>
      </c>
      <c r="E446" s="150" t="s">
        <v>84</v>
      </c>
      <c r="F446" s="744" t="s">
        <v>59</v>
      </c>
      <c r="G446" s="745" t="s">
        <v>110</v>
      </c>
      <c r="H446" s="745" t="s">
        <v>57</v>
      </c>
      <c r="I446" s="746" t="s">
        <v>112</v>
      </c>
      <c r="J446" s="150"/>
      <c r="K446" s="166">
        <f>K449+K447+K448+K450</f>
        <v>49091.888000000006</v>
      </c>
      <c r="L446" s="166">
        <f>L449+L447+L448+L450</f>
        <v>0</v>
      </c>
      <c r="M446" s="166">
        <f>M449+M447+M448+M450</f>
        <v>49091.888000000006</v>
      </c>
    </row>
    <row r="447" spans="1:13" s="396" customFormat="1" ht="112.5" customHeight="1">
      <c r="A447" s="151"/>
      <c r="B447" s="164" t="s">
        <v>69</v>
      </c>
      <c r="C447" s="165" t="s">
        <v>611</v>
      </c>
      <c r="D447" s="150" t="s">
        <v>246</v>
      </c>
      <c r="E447" s="150" t="s">
        <v>84</v>
      </c>
      <c r="F447" s="744" t="s">
        <v>59</v>
      </c>
      <c r="G447" s="745" t="s">
        <v>110</v>
      </c>
      <c r="H447" s="745" t="s">
        <v>57</v>
      </c>
      <c r="I447" s="746" t="s">
        <v>112</v>
      </c>
      <c r="J447" s="150" t="s">
        <v>70</v>
      </c>
      <c r="K447" s="166">
        <f>26464.4+317.9-7834.7</f>
        <v>18947.600000000002</v>
      </c>
      <c r="L447" s="166">
        <f t="shared" ref="L447:L450" si="92">M447-K447</f>
        <v>0</v>
      </c>
      <c r="M447" s="166">
        <f>26464.4+317.9-7834.7</f>
        <v>18947.600000000002</v>
      </c>
    </row>
    <row r="448" spans="1:13" s="396" customFormat="1" ht="56.25" customHeight="1">
      <c r="A448" s="151"/>
      <c r="B448" s="164" t="s">
        <v>75</v>
      </c>
      <c r="C448" s="165" t="s">
        <v>611</v>
      </c>
      <c r="D448" s="150" t="s">
        <v>246</v>
      </c>
      <c r="E448" s="150" t="s">
        <v>84</v>
      </c>
      <c r="F448" s="744" t="s">
        <v>59</v>
      </c>
      <c r="G448" s="745" t="s">
        <v>110</v>
      </c>
      <c r="H448" s="745" t="s">
        <v>57</v>
      </c>
      <c r="I448" s="746" t="s">
        <v>112</v>
      </c>
      <c r="J448" s="150" t="s">
        <v>76</v>
      </c>
      <c r="K448" s="166">
        <f>2194.4-317.9-336.141+6.888</f>
        <v>1547.2469999999998</v>
      </c>
      <c r="L448" s="166">
        <f t="shared" si="92"/>
        <v>0</v>
      </c>
      <c r="M448" s="166">
        <f>2194.4-317.9-336.141+6.888</f>
        <v>1547.2469999999998</v>
      </c>
    </row>
    <row r="449" spans="1:25" s="396" customFormat="1" ht="56.25" customHeight="1">
      <c r="A449" s="151"/>
      <c r="B449" s="164" t="s">
        <v>97</v>
      </c>
      <c r="C449" s="165" t="s">
        <v>611</v>
      </c>
      <c r="D449" s="150" t="s">
        <v>246</v>
      </c>
      <c r="E449" s="150" t="s">
        <v>84</v>
      </c>
      <c r="F449" s="744" t="s">
        <v>59</v>
      </c>
      <c r="G449" s="745" t="s">
        <v>110</v>
      </c>
      <c r="H449" s="745" t="s">
        <v>57</v>
      </c>
      <c r="I449" s="746" t="s">
        <v>112</v>
      </c>
      <c r="J449" s="150" t="s">
        <v>98</v>
      </c>
      <c r="K449" s="166">
        <f>20369.8+8175.797</f>
        <v>28545.596999999998</v>
      </c>
      <c r="L449" s="166">
        <f t="shared" si="92"/>
        <v>0</v>
      </c>
      <c r="M449" s="166">
        <f>20369.8+8175.797</f>
        <v>28545.596999999998</v>
      </c>
    </row>
    <row r="450" spans="1:25" s="396" customFormat="1" ht="18.75" customHeight="1">
      <c r="A450" s="151"/>
      <c r="B450" s="164" t="s">
        <v>77</v>
      </c>
      <c r="C450" s="165" t="s">
        <v>611</v>
      </c>
      <c r="D450" s="150" t="s">
        <v>246</v>
      </c>
      <c r="E450" s="150" t="s">
        <v>84</v>
      </c>
      <c r="F450" s="744" t="s">
        <v>59</v>
      </c>
      <c r="G450" s="745" t="s">
        <v>110</v>
      </c>
      <c r="H450" s="745" t="s">
        <v>57</v>
      </c>
      <c r="I450" s="746" t="s">
        <v>112</v>
      </c>
      <c r="J450" s="150" t="s">
        <v>78</v>
      </c>
      <c r="K450" s="166">
        <f>56.4-4.956</f>
        <v>51.443999999999996</v>
      </c>
      <c r="L450" s="166">
        <f t="shared" si="92"/>
        <v>0</v>
      </c>
      <c r="M450" s="166">
        <f>56.4-4.956</f>
        <v>51.443999999999996</v>
      </c>
    </row>
    <row r="451" spans="1:25" s="396" customFormat="1" ht="56.25" customHeight="1">
      <c r="A451" s="151"/>
      <c r="B451" s="164" t="s">
        <v>229</v>
      </c>
      <c r="C451" s="165" t="s">
        <v>611</v>
      </c>
      <c r="D451" s="150" t="s">
        <v>246</v>
      </c>
      <c r="E451" s="150" t="s">
        <v>84</v>
      </c>
      <c r="F451" s="744" t="s">
        <v>59</v>
      </c>
      <c r="G451" s="745" t="s">
        <v>110</v>
      </c>
      <c r="H451" s="745" t="s">
        <v>57</v>
      </c>
      <c r="I451" s="746" t="s">
        <v>313</v>
      </c>
      <c r="J451" s="150"/>
      <c r="K451" s="166">
        <f>K453+K452</f>
        <v>1150.7</v>
      </c>
      <c r="L451" s="166">
        <f>L453+L452</f>
        <v>0</v>
      </c>
      <c r="M451" s="166">
        <f>M453+M452</f>
        <v>1150.7</v>
      </c>
    </row>
    <row r="452" spans="1:25" s="396" customFormat="1" ht="56.25" customHeight="1">
      <c r="A452" s="151"/>
      <c r="B452" s="164" t="s">
        <v>75</v>
      </c>
      <c r="C452" s="165" t="s">
        <v>611</v>
      </c>
      <c r="D452" s="150" t="s">
        <v>246</v>
      </c>
      <c r="E452" s="150" t="s">
        <v>84</v>
      </c>
      <c r="F452" s="744" t="s">
        <v>59</v>
      </c>
      <c r="G452" s="745" t="s">
        <v>110</v>
      </c>
      <c r="H452" s="745" t="s">
        <v>57</v>
      </c>
      <c r="I452" s="746" t="s">
        <v>313</v>
      </c>
      <c r="J452" s="150" t="s">
        <v>76</v>
      </c>
      <c r="K452" s="166">
        <f>627.6-164.4</f>
        <v>463.20000000000005</v>
      </c>
      <c r="L452" s="166">
        <f t="shared" ref="L452:L453" si="93">M452-K452</f>
        <v>0</v>
      </c>
      <c r="M452" s="166">
        <f>627.6-164.4</f>
        <v>463.20000000000005</v>
      </c>
    </row>
    <row r="453" spans="1:25" s="396" customFormat="1" ht="56.25" customHeight="1">
      <c r="A453" s="151"/>
      <c r="B453" s="312" t="s">
        <v>97</v>
      </c>
      <c r="C453" s="165" t="s">
        <v>611</v>
      </c>
      <c r="D453" s="150" t="s">
        <v>246</v>
      </c>
      <c r="E453" s="150" t="s">
        <v>84</v>
      </c>
      <c r="F453" s="744" t="s">
        <v>59</v>
      </c>
      <c r="G453" s="745" t="s">
        <v>110</v>
      </c>
      <c r="H453" s="745" t="s">
        <v>57</v>
      </c>
      <c r="I453" s="746" t="s">
        <v>313</v>
      </c>
      <c r="J453" s="150" t="s">
        <v>98</v>
      </c>
      <c r="K453" s="166">
        <f>523.1+164.4</f>
        <v>687.5</v>
      </c>
      <c r="L453" s="166">
        <f t="shared" si="93"/>
        <v>0</v>
      </c>
      <c r="M453" s="166">
        <f>523.1+164.4</f>
        <v>687.5</v>
      </c>
      <c r="X453" s="533"/>
      <c r="Y453" s="533"/>
    </row>
    <row r="454" spans="1:25" s="396" customFormat="1" ht="37.5" customHeight="1">
      <c r="A454" s="151"/>
      <c r="B454" s="164" t="s">
        <v>230</v>
      </c>
      <c r="C454" s="165" t="s">
        <v>611</v>
      </c>
      <c r="D454" s="150" t="s">
        <v>246</v>
      </c>
      <c r="E454" s="150" t="s">
        <v>84</v>
      </c>
      <c r="F454" s="744" t="s">
        <v>59</v>
      </c>
      <c r="G454" s="745" t="s">
        <v>110</v>
      </c>
      <c r="H454" s="745" t="s">
        <v>57</v>
      </c>
      <c r="I454" s="746" t="s">
        <v>314</v>
      </c>
      <c r="J454" s="150"/>
      <c r="K454" s="166">
        <f>K455+K456</f>
        <v>317</v>
      </c>
      <c r="L454" s="166">
        <f>L455+L456</f>
        <v>0</v>
      </c>
      <c r="M454" s="166">
        <f>M455+M456</f>
        <v>317</v>
      </c>
      <c r="X454" s="533"/>
      <c r="Y454" s="533"/>
    </row>
    <row r="455" spans="1:25" s="396" customFormat="1" ht="56.25" customHeight="1">
      <c r="A455" s="151"/>
      <c r="B455" s="164" t="s">
        <v>75</v>
      </c>
      <c r="C455" s="165" t="s">
        <v>611</v>
      </c>
      <c r="D455" s="150" t="s">
        <v>246</v>
      </c>
      <c r="E455" s="150" t="s">
        <v>84</v>
      </c>
      <c r="F455" s="744" t="s">
        <v>59</v>
      </c>
      <c r="G455" s="745" t="s">
        <v>110</v>
      </c>
      <c r="H455" s="745" t="s">
        <v>57</v>
      </c>
      <c r="I455" s="746" t="s">
        <v>314</v>
      </c>
      <c r="J455" s="150" t="s">
        <v>76</v>
      </c>
      <c r="K455" s="166">
        <v>300</v>
      </c>
      <c r="L455" s="166">
        <f t="shared" ref="L455:L456" si="94">M455-K455</f>
        <v>0</v>
      </c>
      <c r="M455" s="166">
        <v>300</v>
      </c>
      <c r="X455" s="533"/>
      <c r="Y455" s="533"/>
    </row>
    <row r="456" spans="1:25" s="396" customFormat="1" ht="56.25" customHeight="1">
      <c r="A456" s="151"/>
      <c r="B456" s="312" t="s">
        <v>97</v>
      </c>
      <c r="C456" s="165" t="s">
        <v>611</v>
      </c>
      <c r="D456" s="150" t="s">
        <v>246</v>
      </c>
      <c r="E456" s="150" t="s">
        <v>84</v>
      </c>
      <c r="F456" s="744" t="s">
        <v>59</v>
      </c>
      <c r="G456" s="745" t="s">
        <v>110</v>
      </c>
      <c r="H456" s="745" t="s">
        <v>57</v>
      </c>
      <c r="I456" s="746" t="s">
        <v>314</v>
      </c>
      <c r="J456" s="150" t="s">
        <v>98</v>
      </c>
      <c r="K456" s="166">
        <v>17</v>
      </c>
      <c r="L456" s="166">
        <f t="shared" si="94"/>
        <v>0</v>
      </c>
      <c r="M456" s="166">
        <v>17</v>
      </c>
      <c r="X456" s="533"/>
      <c r="Y456" s="533"/>
    </row>
    <row r="457" spans="1:25" s="396" customFormat="1" ht="193.5" customHeight="1">
      <c r="A457" s="151"/>
      <c r="B457" s="164" t="s">
        <v>696</v>
      </c>
      <c r="C457" s="165" t="s">
        <v>611</v>
      </c>
      <c r="D457" s="150" t="s">
        <v>246</v>
      </c>
      <c r="E457" s="150" t="s">
        <v>84</v>
      </c>
      <c r="F457" s="744" t="s">
        <v>59</v>
      </c>
      <c r="G457" s="745" t="s">
        <v>110</v>
      </c>
      <c r="H457" s="745" t="s">
        <v>57</v>
      </c>
      <c r="I457" s="746" t="s">
        <v>538</v>
      </c>
      <c r="J457" s="150"/>
      <c r="K457" s="166">
        <f>K458</f>
        <v>125</v>
      </c>
      <c r="L457" s="166">
        <f>L458</f>
        <v>-0.29999999999999716</v>
      </c>
      <c r="M457" s="166">
        <f>M458</f>
        <v>124.7</v>
      </c>
    </row>
    <row r="458" spans="1:25" s="396" customFormat="1" ht="112.5" customHeight="1">
      <c r="A458" s="151"/>
      <c r="B458" s="164" t="s">
        <v>69</v>
      </c>
      <c r="C458" s="165" t="s">
        <v>611</v>
      </c>
      <c r="D458" s="150" t="s">
        <v>246</v>
      </c>
      <c r="E458" s="150" t="s">
        <v>84</v>
      </c>
      <c r="F458" s="744" t="s">
        <v>59</v>
      </c>
      <c r="G458" s="745" t="s">
        <v>110</v>
      </c>
      <c r="H458" s="745" t="s">
        <v>57</v>
      </c>
      <c r="I458" s="746" t="s">
        <v>538</v>
      </c>
      <c r="J458" s="150" t="s">
        <v>70</v>
      </c>
      <c r="K458" s="166">
        <v>125</v>
      </c>
      <c r="L458" s="166">
        <f>M458-K458</f>
        <v>-0.29999999999999716</v>
      </c>
      <c r="M458" s="764">
        <f>125-0.3</f>
        <v>124.7</v>
      </c>
    </row>
    <row r="459" spans="1:25" s="396" customFormat="1" ht="192" customHeight="1">
      <c r="A459" s="151"/>
      <c r="B459" s="164" t="s">
        <v>308</v>
      </c>
      <c r="C459" s="165" t="s">
        <v>611</v>
      </c>
      <c r="D459" s="150" t="s">
        <v>246</v>
      </c>
      <c r="E459" s="150" t="s">
        <v>84</v>
      </c>
      <c r="F459" s="744" t="s">
        <v>59</v>
      </c>
      <c r="G459" s="745" t="s">
        <v>110</v>
      </c>
      <c r="H459" s="745" t="s">
        <v>57</v>
      </c>
      <c r="I459" s="746" t="s">
        <v>309</v>
      </c>
      <c r="J459" s="150"/>
      <c r="K459" s="166">
        <f>K460</f>
        <v>107.3</v>
      </c>
      <c r="L459" s="166">
        <f>L460</f>
        <v>0</v>
      </c>
      <c r="M459" s="166">
        <f>M460</f>
        <v>107.3</v>
      </c>
    </row>
    <row r="460" spans="1:25" s="396" customFormat="1" ht="35.25" customHeight="1">
      <c r="A460" s="151"/>
      <c r="B460" s="164" t="s">
        <v>97</v>
      </c>
      <c r="C460" s="165" t="s">
        <v>611</v>
      </c>
      <c r="D460" s="150" t="s">
        <v>246</v>
      </c>
      <c r="E460" s="150" t="s">
        <v>84</v>
      </c>
      <c r="F460" s="744" t="s">
        <v>59</v>
      </c>
      <c r="G460" s="745" t="s">
        <v>110</v>
      </c>
      <c r="H460" s="745" t="s">
        <v>57</v>
      </c>
      <c r="I460" s="746" t="s">
        <v>309</v>
      </c>
      <c r="J460" s="150" t="s">
        <v>98</v>
      </c>
      <c r="K460" s="166">
        <v>107.3</v>
      </c>
      <c r="L460" s="166">
        <f t="shared" ref="L460" si="95">M460-K460</f>
        <v>0</v>
      </c>
      <c r="M460" s="166">
        <v>107.3</v>
      </c>
    </row>
    <row r="461" spans="1:25" s="396" customFormat="1" ht="117.75" customHeight="1">
      <c r="A461" s="151"/>
      <c r="B461" s="164" t="s">
        <v>415</v>
      </c>
      <c r="C461" s="165" t="s">
        <v>611</v>
      </c>
      <c r="D461" s="150" t="s">
        <v>246</v>
      </c>
      <c r="E461" s="150" t="s">
        <v>84</v>
      </c>
      <c r="F461" s="744" t="s">
        <v>59</v>
      </c>
      <c r="G461" s="745" t="s">
        <v>110</v>
      </c>
      <c r="H461" s="745" t="s">
        <v>57</v>
      </c>
      <c r="I461" s="746" t="s">
        <v>310</v>
      </c>
      <c r="J461" s="150"/>
      <c r="K461" s="166">
        <f>K462</f>
        <v>7875.4</v>
      </c>
      <c r="L461" s="166">
        <f>L462</f>
        <v>0</v>
      </c>
      <c r="M461" s="166">
        <f>M462</f>
        <v>7875.4</v>
      </c>
    </row>
    <row r="462" spans="1:25" s="396" customFormat="1" ht="56.25" customHeight="1">
      <c r="A462" s="151"/>
      <c r="B462" s="164" t="s">
        <v>97</v>
      </c>
      <c r="C462" s="165" t="s">
        <v>611</v>
      </c>
      <c r="D462" s="150" t="s">
        <v>246</v>
      </c>
      <c r="E462" s="150" t="s">
        <v>84</v>
      </c>
      <c r="F462" s="744" t="s">
        <v>59</v>
      </c>
      <c r="G462" s="745" t="s">
        <v>110</v>
      </c>
      <c r="H462" s="745" t="s">
        <v>57</v>
      </c>
      <c r="I462" s="746" t="s">
        <v>310</v>
      </c>
      <c r="J462" s="150" t="s">
        <v>98</v>
      </c>
      <c r="K462" s="166">
        <v>7875.4</v>
      </c>
      <c r="L462" s="166">
        <f>M462-K462</f>
        <v>0</v>
      </c>
      <c r="M462" s="166">
        <v>7875.4</v>
      </c>
    </row>
    <row r="463" spans="1:25" s="396" customFormat="1" ht="39" customHeight="1">
      <c r="A463" s="151"/>
      <c r="B463" s="164" t="s">
        <v>728</v>
      </c>
      <c r="C463" s="165" t="s">
        <v>611</v>
      </c>
      <c r="D463" s="150" t="s">
        <v>246</v>
      </c>
      <c r="E463" s="150" t="s">
        <v>84</v>
      </c>
      <c r="F463" s="744" t="s">
        <v>59</v>
      </c>
      <c r="G463" s="745" t="s">
        <v>110</v>
      </c>
      <c r="H463" s="745" t="s">
        <v>727</v>
      </c>
      <c r="I463" s="746" t="s">
        <v>64</v>
      </c>
      <c r="J463" s="150"/>
      <c r="K463" s="166">
        <f t="shared" ref="K463:M464" si="96">K464</f>
        <v>150</v>
      </c>
      <c r="L463" s="166">
        <f t="shared" si="96"/>
        <v>0</v>
      </c>
      <c r="M463" s="166">
        <f t="shared" si="96"/>
        <v>150</v>
      </c>
    </row>
    <row r="464" spans="1:25" s="396" customFormat="1" ht="56.25" customHeight="1">
      <c r="A464" s="151"/>
      <c r="B464" s="164" t="s">
        <v>684</v>
      </c>
      <c r="C464" s="165" t="s">
        <v>611</v>
      </c>
      <c r="D464" s="150" t="s">
        <v>246</v>
      </c>
      <c r="E464" s="150" t="s">
        <v>84</v>
      </c>
      <c r="F464" s="744" t="s">
        <v>59</v>
      </c>
      <c r="G464" s="745" t="s">
        <v>110</v>
      </c>
      <c r="H464" s="745" t="s">
        <v>727</v>
      </c>
      <c r="I464" s="746" t="s">
        <v>685</v>
      </c>
      <c r="J464" s="150"/>
      <c r="K464" s="166">
        <f t="shared" si="96"/>
        <v>150</v>
      </c>
      <c r="L464" s="166">
        <f t="shared" si="96"/>
        <v>0</v>
      </c>
      <c r="M464" s="166">
        <f t="shared" si="96"/>
        <v>150</v>
      </c>
    </row>
    <row r="465" spans="1:13" s="396" customFormat="1" ht="56.25" customHeight="1">
      <c r="A465" s="151"/>
      <c r="B465" s="164" t="s">
        <v>97</v>
      </c>
      <c r="C465" s="165" t="s">
        <v>611</v>
      </c>
      <c r="D465" s="150" t="s">
        <v>246</v>
      </c>
      <c r="E465" s="150" t="s">
        <v>84</v>
      </c>
      <c r="F465" s="744" t="s">
        <v>59</v>
      </c>
      <c r="G465" s="745" t="s">
        <v>110</v>
      </c>
      <c r="H465" s="745" t="s">
        <v>727</v>
      </c>
      <c r="I465" s="746" t="s">
        <v>685</v>
      </c>
      <c r="J465" s="150" t="s">
        <v>98</v>
      </c>
      <c r="K465" s="166">
        <v>150</v>
      </c>
      <c r="L465" s="166">
        <f>M465-K465</f>
        <v>0</v>
      </c>
      <c r="M465" s="166">
        <v>150</v>
      </c>
    </row>
    <row r="466" spans="1:13" s="396" customFormat="1" ht="21" customHeight="1">
      <c r="A466" s="151"/>
      <c r="B466" s="164" t="s">
        <v>425</v>
      </c>
      <c r="C466" s="165" t="s">
        <v>611</v>
      </c>
      <c r="D466" s="150" t="s">
        <v>246</v>
      </c>
      <c r="E466" s="150" t="s">
        <v>246</v>
      </c>
      <c r="F466" s="744"/>
      <c r="G466" s="745"/>
      <c r="H466" s="745"/>
      <c r="I466" s="746"/>
      <c r="J466" s="150"/>
      <c r="K466" s="166">
        <f t="shared" ref="K466:M467" si="97">K467</f>
        <v>7252.7999999999993</v>
      </c>
      <c r="L466" s="166">
        <f t="shared" si="97"/>
        <v>0</v>
      </c>
      <c r="M466" s="166">
        <f t="shared" si="97"/>
        <v>7252.7999999999993</v>
      </c>
    </row>
    <row r="467" spans="1:13" s="396" customFormat="1" ht="56.25" customHeight="1">
      <c r="A467" s="151"/>
      <c r="B467" s="164" t="s">
        <v>227</v>
      </c>
      <c r="C467" s="165" t="s">
        <v>611</v>
      </c>
      <c r="D467" s="150" t="s">
        <v>246</v>
      </c>
      <c r="E467" s="150" t="s">
        <v>246</v>
      </c>
      <c r="F467" s="744" t="s">
        <v>59</v>
      </c>
      <c r="G467" s="745" t="s">
        <v>62</v>
      </c>
      <c r="H467" s="745" t="s">
        <v>63</v>
      </c>
      <c r="I467" s="746" t="s">
        <v>64</v>
      </c>
      <c r="J467" s="150"/>
      <c r="K467" s="166">
        <f t="shared" si="97"/>
        <v>7252.7999999999993</v>
      </c>
      <c r="L467" s="166">
        <f t="shared" si="97"/>
        <v>0</v>
      </c>
      <c r="M467" s="166">
        <f t="shared" si="97"/>
        <v>7252.7999999999993</v>
      </c>
    </row>
    <row r="468" spans="1:13" s="396" customFormat="1" ht="56.25" customHeight="1">
      <c r="A468" s="151"/>
      <c r="B468" s="164" t="s">
        <v>234</v>
      </c>
      <c r="C468" s="165" t="s">
        <v>611</v>
      </c>
      <c r="D468" s="150" t="s">
        <v>246</v>
      </c>
      <c r="E468" s="150" t="s">
        <v>246</v>
      </c>
      <c r="F468" s="744" t="s">
        <v>59</v>
      </c>
      <c r="G468" s="745" t="s">
        <v>50</v>
      </c>
      <c r="H468" s="745" t="s">
        <v>63</v>
      </c>
      <c r="I468" s="746" t="s">
        <v>64</v>
      </c>
      <c r="J468" s="150"/>
      <c r="K468" s="166">
        <f>K469</f>
        <v>7252.7999999999993</v>
      </c>
      <c r="L468" s="166">
        <f>L469</f>
        <v>0</v>
      </c>
      <c r="M468" s="166">
        <f>M469</f>
        <v>7252.7999999999993</v>
      </c>
    </row>
    <row r="469" spans="1:13" s="396" customFormat="1" ht="56.25" customHeight="1">
      <c r="A469" s="151"/>
      <c r="B469" s="164" t="s">
        <v>321</v>
      </c>
      <c r="C469" s="165" t="s">
        <v>611</v>
      </c>
      <c r="D469" s="150" t="s">
        <v>246</v>
      </c>
      <c r="E469" s="150" t="s">
        <v>246</v>
      </c>
      <c r="F469" s="744" t="s">
        <v>59</v>
      </c>
      <c r="G469" s="745" t="s">
        <v>50</v>
      </c>
      <c r="H469" s="745" t="s">
        <v>59</v>
      </c>
      <c r="I469" s="746" t="s">
        <v>64</v>
      </c>
      <c r="J469" s="150"/>
      <c r="K469" s="166">
        <f>K470+K472</f>
        <v>7252.7999999999993</v>
      </c>
      <c r="L469" s="166">
        <f>L470+L472</f>
        <v>0</v>
      </c>
      <c r="M469" s="166">
        <f>M470+M472</f>
        <v>7252.7999999999993</v>
      </c>
    </row>
    <row r="470" spans="1:13" s="396" customFormat="1" ht="35.25" customHeight="1">
      <c r="A470" s="151"/>
      <c r="B470" s="164" t="s">
        <v>817</v>
      </c>
      <c r="C470" s="165" t="s">
        <v>611</v>
      </c>
      <c r="D470" s="150" t="s">
        <v>246</v>
      </c>
      <c r="E470" s="150" t="s">
        <v>246</v>
      </c>
      <c r="F470" s="744" t="s">
        <v>59</v>
      </c>
      <c r="G470" s="745" t="s">
        <v>50</v>
      </c>
      <c r="H470" s="745" t="s">
        <v>59</v>
      </c>
      <c r="I470" s="746" t="s">
        <v>816</v>
      </c>
      <c r="J470" s="150"/>
      <c r="K470" s="166">
        <f>K471</f>
        <v>502.9</v>
      </c>
      <c r="L470" s="166">
        <f>L471</f>
        <v>0</v>
      </c>
      <c r="M470" s="166">
        <f>M471</f>
        <v>502.9</v>
      </c>
    </row>
    <row r="471" spans="1:13" s="396" customFormat="1" ht="56.25" customHeight="1">
      <c r="A471" s="151"/>
      <c r="B471" s="164" t="s">
        <v>97</v>
      </c>
      <c r="C471" s="165" t="s">
        <v>611</v>
      </c>
      <c r="D471" s="150" t="s">
        <v>246</v>
      </c>
      <c r="E471" s="150" t="s">
        <v>246</v>
      </c>
      <c r="F471" s="744" t="s">
        <v>59</v>
      </c>
      <c r="G471" s="745" t="s">
        <v>50</v>
      </c>
      <c r="H471" s="745" t="s">
        <v>59</v>
      </c>
      <c r="I471" s="746" t="s">
        <v>816</v>
      </c>
      <c r="J471" s="150" t="s">
        <v>98</v>
      </c>
      <c r="K471" s="166">
        <v>502.9</v>
      </c>
      <c r="L471" s="166">
        <f>M471-K471</f>
        <v>0</v>
      </c>
      <c r="M471" s="166">
        <v>502.9</v>
      </c>
    </row>
    <row r="472" spans="1:13" s="396" customFormat="1" ht="114.75" customHeight="1">
      <c r="A472" s="151"/>
      <c r="B472" s="164" t="s">
        <v>737</v>
      </c>
      <c r="C472" s="165" t="s">
        <v>611</v>
      </c>
      <c r="D472" s="150" t="s">
        <v>246</v>
      </c>
      <c r="E472" s="150" t="s">
        <v>246</v>
      </c>
      <c r="F472" s="744" t="s">
        <v>59</v>
      </c>
      <c r="G472" s="745" t="s">
        <v>50</v>
      </c>
      <c r="H472" s="745" t="s">
        <v>59</v>
      </c>
      <c r="I472" s="746" t="s">
        <v>736</v>
      </c>
      <c r="J472" s="150"/>
      <c r="K472" s="166">
        <f>K473</f>
        <v>6749.9</v>
      </c>
      <c r="L472" s="166">
        <f>L473</f>
        <v>0</v>
      </c>
      <c r="M472" s="166">
        <f>M473</f>
        <v>6749.9</v>
      </c>
    </row>
    <row r="473" spans="1:13" s="396" customFormat="1" ht="56.25" customHeight="1">
      <c r="A473" s="151"/>
      <c r="B473" s="164" t="s">
        <v>97</v>
      </c>
      <c r="C473" s="165" t="s">
        <v>611</v>
      </c>
      <c r="D473" s="150" t="s">
        <v>246</v>
      </c>
      <c r="E473" s="150" t="s">
        <v>246</v>
      </c>
      <c r="F473" s="744" t="s">
        <v>59</v>
      </c>
      <c r="G473" s="745" t="s">
        <v>50</v>
      </c>
      <c r="H473" s="745" t="s">
        <v>59</v>
      </c>
      <c r="I473" s="746" t="s">
        <v>736</v>
      </c>
      <c r="J473" s="150" t="s">
        <v>98</v>
      </c>
      <c r="K473" s="166">
        <v>6749.9</v>
      </c>
      <c r="L473" s="166">
        <f>M473-K473</f>
        <v>0</v>
      </c>
      <c r="M473" s="166">
        <v>6749.9</v>
      </c>
    </row>
    <row r="474" spans="1:13" s="396" customFormat="1" ht="18.75" customHeight="1">
      <c r="A474" s="151"/>
      <c r="B474" s="164" t="s">
        <v>208</v>
      </c>
      <c r="C474" s="165" t="s">
        <v>611</v>
      </c>
      <c r="D474" s="150" t="s">
        <v>246</v>
      </c>
      <c r="E474" s="150" t="s">
        <v>100</v>
      </c>
      <c r="F474" s="744"/>
      <c r="G474" s="745"/>
      <c r="H474" s="745"/>
      <c r="I474" s="746"/>
      <c r="J474" s="150"/>
      <c r="K474" s="166">
        <f>K475</f>
        <v>62390.472000000009</v>
      </c>
      <c r="L474" s="166">
        <f>L475</f>
        <v>0</v>
      </c>
      <c r="M474" s="166">
        <f>M475</f>
        <v>62390.472000000009</v>
      </c>
    </row>
    <row r="475" spans="1:13" s="396" customFormat="1" ht="56.25" customHeight="1">
      <c r="A475" s="151"/>
      <c r="B475" s="164" t="s">
        <v>227</v>
      </c>
      <c r="C475" s="165" t="s">
        <v>611</v>
      </c>
      <c r="D475" s="150" t="s">
        <v>246</v>
      </c>
      <c r="E475" s="150" t="s">
        <v>100</v>
      </c>
      <c r="F475" s="744" t="s">
        <v>59</v>
      </c>
      <c r="G475" s="745" t="s">
        <v>62</v>
      </c>
      <c r="H475" s="745" t="s">
        <v>63</v>
      </c>
      <c r="I475" s="746" t="s">
        <v>64</v>
      </c>
      <c r="J475" s="150"/>
      <c r="K475" s="166">
        <f>K480+K476</f>
        <v>62390.472000000009</v>
      </c>
      <c r="L475" s="166">
        <f>L480+L476</f>
        <v>0</v>
      </c>
      <c r="M475" s="166">
        <f>M480+M476</f>
        <v>62390.472000000009</v>
      </c>
    </row>
    <row r="476" spans="1:13" s="396" customFormat="1" ht="25.5" customHeight="1">
      <c r="A476" s="151"/>
      <c r="B476" s="164" t="s">
        <v>232</v>
      </c>
      <c r="C476" s="165" t="s">
        <v>611</v>
      </c>
      <c r="D476" s="150" t="s">
        <v>246</v>
      </c>
      <c r="E476" s="150" t="s">
        <v>100</v>
      </c>
      <c r="F476" s="744" t="s">
        <v>59</v>
      </c>
      <c r="G476" s="745" t="s">
        <v>110</v>
      </c>
      <c r="H476" s="745" t="s">
        <v>63</v>
      </c>
      <c r="I476" s="746" t="s">
        <v>64</v>
      </c>
      <c r="J476" s="150"/>
      <c r="K476" s="166">
        <f t="shared" ref="K476:M478" si="98">K477</f>
        <v>36</v>
      </c>
      <c r="L476" s="166">
        <f t="shared" si="98"/>
        <v>0</v>
      </c>
      <c r="M476" s="166">
        <f t="shared" si="98"/>
        <v>36</v>
      </c>
    </row>
    <row r="477" spans="1:13" s="396" customFormat="1" ht="18.75" customHeight="1">
      <c r="A477" s="151"/>
      <c r="B477" s="164" t="s">
        <v>317</v>
      </c>
      <c r="C477" s="165" t="s">
        <v>611</v>
      </c>
      <c r="D477" s="150" t="s">
        <v>246</v>
      </c>
      <c r="E477" s="150" t="s">
        <v>100</v>
      </c>
      <c r="F477" s="744" t="s">
        <v>59</v>
      </c>
      <c r="G477" s="745" t="s">
        <v>110</v>
      </c>
      <c r="H477" s="745" t="s">
        <v>59</v>
      </c>
      <c r="I477" s="746" t="s">
        <v>64</v>
      </c>
      <c r="J477" s="150"/>
      <c r="K477" s="166">
        <f t="shared" si="98"/>
        <v>36</v>
      </c>
      <c r="L477" s="166">
        <f t="shared" si="98"/>
        <v>0</v>
      </c>
      <c r="M477" s="166">
        <f t="shared" si="98"/>
        <v>36</v>
      </c>
    </row>
    <row r="478" spans="1:13" s="396" customFormat="1" ht="58.15" customHeight="1">
      <c r="A478" s="151"/>
      <c r="B478" s="164" t="s">
        <v>318</v>
      </c>
      <c r="C478" s="165" t="s">
        <v>611</v>
      </c>
      <c r="D478" s="150" t="s">
        <v>246</v>
      </c>
      <c r="E478" s="150" t="s">
        <v>100</v>
      </c>
      <c r="F478" s="744" t="s">
        <v>59</v>
      </c>
      <c r="G478" s="745" t="s">
        <v>110</v>
      </c>
      <c r="H478" s="745" t="s">
        <v>59</v>
      </c>
      <c r="I478" s="746" t="s">
        <v>319</v>
      </c>
      <c r="J478" s="150"/>
      <c r="K478" s="166">
        <f t="shared" si="98"/>
        <v>36</v>
      </c>
      <c r="L478" s="166">
        <f t="shared" si="98"/>
        <v>0</v>
      </c>
      <c r="M478" s="166">
        <f t="shared" si="98"/>
        <v>36</v>
      </c>
    </row>
    <row r="479" spans="1:13" s="396" customFormat="1" ht="37.5" customHeight="1">
      <c r="A479" s="151"/>
      <c r="B479" s="164" t="s">
        <v>141</v>
      </c>
      <c r="C479" s="165" t="s">
        <v>611</v>
      </c>
      <c r="D479" s="150" t="s">
        <v>246</v>
      </c>
      <c r="E479" s="150" t="s">
        <v>100</v>
      </c>
      <c r="F479" s="744" t="s">
        <v>59</v>
      </c>
      <c r="G479" s="745" t="s">
        <v>110</v>
      </c>
      <c r="H479" s="745" t="s">
        <v>59</v>
      </c>
      <c r="I479" s="746" t="s">
        <v>319</v>
      </c>
      <c r="J479" s="150" t="s">
        <v>142</v>
      </c>
      <c r="K479" s="166">
        <v>36</v>
      </c>
      <c r="L479" s="166">
        <f>M479-K479</f>
        <v>0</v>
      </c>
      <c r="M479" s="166">
        <v>36</v>
      </c>
    </row>
    <row r="480" spans="1:13" s="396" customFormat="1" ht="56.25" customHeight="1">
      <c r="A480" s="151"/>
      <c r="B480" s="164" t="s">
        <v>234</v>
      </c>
      <c r="C480" s="165" t="s">
        <v>611</v>
      </c>
      <c r="D480" s="150" t="s">
        <v>246</v>
      </c>
      <c r="E480" s="150" t="s">
        <v>100</v>
      </c>
      <c r="F480" s="744" t="s">
        <v>59</v>
      </c>
      <c r="G480" s="745" t="s">
        <v>50</v>
      </c>
      <c r="H480" s="745" t="s">
        <v>63</v>
      </c>
      <c r="I480" s="746" t="s">
        <v>64</v>
      </c>
      <c r="J480" s="150"/>
      <c r="K480" s="166">
        <f t="shared" ref="K480:M480" si="99">K481</f>
        <v>62354.472000000009</v>
      </c>
      <c r="L480" s="166">
        <f t="shared" si="99"/>
        <v>0</v>
      </c>
      <c r="M480" s="166">
        <f t="shared" si="99"/>
        <v>62354.472000000009</v>
      </c>
    </row>
    <row r="481" spans="1:13" s="396" customFormat="1" ht="37.5" customHeight="1">
      <c r="A481" s="151"/>
      <c r="B481" s="164" t="s">
        <v>322</v>
      </c>
      <c r="C481" s="165" t="s">
        <v>611</v>
      </c>
      <c r="D481" s="150" t="s">
        <v>246</v>
      </c>
      <c r="E481" s="150" t="s">
        <v>100</v>
      </c>
      <c r="F481" s="744" t="s">
        <v>59</v>
      </c>
      <c r="G481" s="745" t="s">
        <v>50</v>
      </c>
      <c r="H481" s="745" t="s">
        <v>57</v>
      </c>
      <c r="I481" s="746" t="s">
        <v>64</v>
      </c>
      <c r="J481" s="150"/>
      <c r="K481" s="166">
        <f>K482+K486+K491+K495+K493</f>
        <v>62354.472000000009</v>
      </c>
      <c r="L481" s="166">
        <f>L482+L486+L495+L493+L491</f>
        <v>0</v>
      </c>
      <c r="M481" s="166">
        <f>M482+M486+M491+M495+M493</f>
        <v>62354.472000000009</v>
      </c>
    </row>
    <row r="482" spans="1:13" s="396" customFormat="1" ht="37.5" customHeight="1">
      <c r="A482" s="151"/>
      <c r="B482" s="164" t="s">
        <v>67</v>
      </c>
      <c r="C482" s="165" t="s">
        <v>611</v>
      </c>
      <c r="D482" s="150" t="s">
        <v>246</v>
      </c>
      <c r="E482" s="150" t="s">
        <v>100</v>
      </c>
      <c r="F482" s="744" t="s">
        <v>59</v>
      </c>
      <c r="G482" s="745" t="s">
        <v>50</v>
      </c>
      <c r="H482" s="745" t="s">
        <v>57</v>
      </c>
      <c r="I482" s="746" t="s">
        <v>68</v>
      </c>
      <c r="J482" s="150"/>
      <c r="K482" s="166">
        <f>K483+K484+K485</f>
        <v>9957.866</v>
      </c>
      <c r="L482" s="166">
        <f>L483+L484+L485</f>
        <v>0</v>
      </c>
      <c r="M482" s="166">
        <f>M483+M484+M485</f>
        <v>9957.866</v>
      </c>
    </row>
    <row r="483" spans="1:13" s="396" customFormat="1" ht="112.5" customHeight="1">
      <c r="A483" s="151"/>
      <c r="B483" s="164" t="s">
        <v>69</v>
      </c>
      <c r="C483" s="165" t="s">
        <v>611</v>
      </c>
      <c r="D483" s="150" t="s">
        <v>246</v>
      </c>
      <c r="E483" s="150" t="s">
        <v>100</v>
      </c>
      <c r="F483" s="744" t="s">
        <v>59</v>
      </c>
      <c r="G483" s="745" t="s">
        <v>50</v>
      </c>
      <c r="H483" s="745" t="s">
        <v>57</v>
      </c>
      <c r="I483" s="746" t="s">
        <v>68</v>
      </c>
      <c r="J483" s="150" t="s">
        <v>70</v>
      </c>
      <c r="K483" s="166">
        <v>9265.9</v>
      </c>
      <c r="L483" s="166">
        <f t="shared" ref="L483:L485" si="100">M483-K483</f>
        <v>0</v>
      </c>
      <c r="M483" s="166">
        <v>9265.9</v>
      </c>
    </row>
    <row r="484" spans="1:13" s="396" customFormat="1" ht="56.25" customHeight="1">
      <c r="A484" s="151"/>
      <c r="B484" s="164" t="s">
        <v>75</v>
      </c>
      <c r="C484" s="165" t="s">
        <v>611</v>
      </c>
      <c r="D484" s="150" t="s">
        <v>246</v>
      </c>
      <c r="E484" s="150" t="s">
        <v>100</v>
      </c>
      <c r="F484" s="744" t="s">
        <v>59</v>
      </c>
      <c r="G484" s="745" t="s">
        <v>50</v>
      </c>
      <c r="H484" s="745" t="s">
        <v>57</v>
      </c>
      <c r="I484" s="746" t="s">
        <v>68</v>
      </c>
      <c r="J484" s="150" t="s">
        <v>76</v>
      </c>
      <c r="K484" s="166">
        <f>638.5+31.1+7.466-2.3</f>
        <v>674.76600000000008</v>
      </c>
      <c r="L484" s="166">
        <f t="shared" si="100"/>
        <v>0</v>
      </c>
      <c r="M484" s="166">
        <f>638.5+31.1+7.466-2.3</f>
        <v>674.76600000000008</v>
      </c>
    </row>
    <row r="485" spans="1:13" s="396" customFormat="1" ht="18.75" customHeight="1">
      <c r="A485" s="151"/>
      <c r="B485" s="164" t="s">
        <v>77</v>
      </c>
      <c r="C485" s="165" t="s">
        <v>611</v>
      </c>
      <c r="D485" s="150" t="s">
        <v>246</v>
      </c>
      <c r="E485" s="150" t="s">
        <v>100</v>
      </c>
      <c r="F485" s="744" t="s">
        <v>59</v>
      </c>
      <c r="G485" s="745" t="s">
        <v>50</v>
      </c>
      <c r="H485" s="745" t="s">
        <v>57</v>
      </c>
      <c r="I485" s="746" t="s">
        <v>68</v>
      </c>
      <c r="J485" s="150" t="s">
        <v>78</v>
      </c>
      <c r="K485" s="166">
        <f>14.9+2.3</f>
        <v>17.2</v>
      </c>
      <c r="L485" s="166">
        <f t="shared" si="100"/>
        <v>0</v>
      </c>
      <c r="M485" s="166">
        <f>14.9+2.3</f>
        <v>17.2</v>
      </c>
    </row>
    <row r="486" spans="1:13" s="396" customFormat="1" ht="35.25" customHeight="1">
      <c r="A486" s="151"/>
      <c r="B486" s="167" t="s">
        <v>800</v>
      </c>
      <c r="C486" s="165" t="s">
        <v>611</v>
      </c>
      <c r="D486" s="150" t="s">
        <v>246</v>
      </c>
      <c r="E486" s="150" t="s">
        <v>100</v>
      </c>
      <c r="F486" s="744" t="s">
        <v>59</v>
      </c>
      <c r="G486" s="745" t="s">
        <v>50</v>
      </c>
      <c r="H486" s="745" t="s">
        <v>57</v>
      </c>
      <c r="I486" s="746" t="s">
        <v>112</v>
      </c>
      <c r="J486" s="150"/>
      <c r="K486" s="166">
        <f>K487+K488+K490+K489</f>
        <v>46129.406000000003</v>
      </c>
      <c r="L486" s="166">
        <f>L487+L488+L490+L489</f>
        <v>0</v>
      </c>
      <c r="M486" s="166">
        <f>M487+M488+M490+M489</f>
        <v>46129.406000000003</v>
      </c>
    </row>
    <row r="487" spans="1:13" s="396" customFormat="1" ht="112.5" customHeight="1">
      <c r="A487" s="151"/>
      <c r="B487" s="164" t="s">
        <v>69</v>
      </c>
      <c r="C487" s="165" t="s">
        <v>611</v>
      </c>
      <c r="D487" s="150" t="s">
        <v>246</v>
      </c>
      <c r="E487" s="150" t="s">
        <v>100</v>
      </c>
      <c r="F487" s="744" t="s">
        <v>59</v>
      </c>
      <c r="G487" s="745" t="s">
        <v>50</v>
      </c>
      <c r="H487" s="745" t="s">
        <v>57</v>
      </c>
      <c r="I487" s="746" t="s">
        <v>112</v>
      </c>
      <c r="J487" s="150" t="s">
        <v>70</v>
      </c>
      <c r="K487" s="166">
        <v>27266.3</v>
      </c>
      <c r="L487" s="166">
        <f t="shared" ref="L487:L492" si="101">M487-K487</f>
        <v>0</v>
      </c>
      <c r="M487" s="166">
        <v>27266.3</v>
      </c>
    </row>
    <row r="488" spans="1:13" s="396" customFormat="1" ht="56.25" customHeight="1">
      <c r="A488" s="151"/>
      <c r="B488" s="164" t="s">
        <v>75</v>
      </c>
      <c r="C488" s="165" t="s">
        <v>611</v>
      </c>
      <c r="D488" s="150" t="s">
        <v>246</v>
      </c>
      <c r="E488" s="150" t="s">
        <v>100</v>
      </c>
      <c r="F488" s="744" t="s">
        <v>59</v>
      </c>
      <c r="G488" s="745" t="s">
        <v>50</v>
      </c>
      <c r="H488" s="745" t="s">
        <v>57</v>
      </c>
      <c r="I488" s="746" t="s">
        <v>112</v>
      </c>
      <c r="J488" s="150" t="s">
        <v>76</v>
      </c>
      <c r="K488" s="166">
        <f>2461+8.906</f>
        <v>2469.9059999999999</v>
      </c>
      <c r="L488" s="166">
        <f t="shared" si="101"/>
        <v>0</v>
      </c>
      <c r="M488" s="166">
        <f>2461+8.906</f>
        <v>2469.9059999999999</v>
      </c>
    </row>
    <row r="489" spans="1:13" s="396" customFormat="1" ht="56.25" customHeight="1">
      <c r="A489" s="151"/>
      <c r="B489" s="164" t="s">
        <v>97</v>
      </c>
      <c r="C489" s="165" t="s">
        <v>611</v>
      </c>
      <c r="D489" s="150" t="s">
        <v>246</v>
      </c>
      <c r="E489" s="150" t="s">
        <v>100</v>
      </c>
      <c r="F489" s="744" t="s">
        <v>59</v>
      </c>
      <c r="G489" s="745" t="s">
        <v>50</v>
      </c>
      <c r="H489" s="745" t="s">
        <v>57</v>
      </c>
      <c r="I489" s="746" t="s">
        <v>112</v>
      </c>
      <c r="J489" s="150" t="s">
        <v>98</v>
      </c>
      <c r="K489" s="166">
        <v>16385</v>
      </c>
      <c r="L489" s="166">
        <f t="shared" si="101"/>
        <v>0</v>
      </c>
      <c r="M489" s="166">
        <v>16385</v>
      </c>
    </row>
    <row r="490" spans="1:13" s="396" customFormat="1" ht="18.75" customHeight="1">
      <c r="A490" s="151"/>
      <c r="B490" s="164" t="s">
        <v>77</v>
      </c>
      <c r="C490" s="165" t="s">
        <v>611</v>
      </c>
      <c r="D490" s="150" t="s">
        <v>246</v>
      </c>
      <c r="E490" s="150" t="s">
        <v>100</v>
      </c>
      <c r="F490" s="744" t="s">
        <v>59</v>
      </c>
      <c r="G490" s="745" t="s">
        <v>50</v>
      </c>
      <c r="H490" s="745" t="s">
        <v>57</v>
      </c>
      <c r="I490" s="746" t="s">
        <v>112</v>
      </c>
      <c r="J490" s="150" t="s">
        <v>78</v>
      </c>
      <c r="K490" s="166">
        <v>8.1999999999999993</v>
      </c>
      <c r="L490" s="166">
        <f t="shared" si="101"/>
        <v>0</v>
      </c>
      <c r="M490" s="166">
        <v>8.1999999999999993</v>
      </c>
    </row>
    <row r="491" spans="1:13" s="396" customFormat="1" ht="18.75" customHeight="1">
      <c r="A491" s="151"/>
      <c r="B491" s="164" t="s">
        <v>801</v>
      </c>
      <c r="C491" s="165" t="s">
        <v>611</v>
      </c>
      <c r="D491" s="150" t="s">
        <v>246</v>
      </c>
      <c r="E491" s="150" t="s">
        <v>100</v>
      </c>
      <c r="F491" s="744" t="s">
        <v>59</v>
      </c>
      <c r="G491" s="745" t="s">
        <v>50</v>
      </c>
      <c r="H491" s="745" t="s">
        <v>57</v>
      </c>
      <c r="I491" s="746" t="s">
        <v>479</v>
      </c>
      <c r="J491" s="150"/>
      <c r="K491" s="166">
        <f>K492</f>
        <v>67.3</v>
      </c>
      <c r="L491" s="166">
        <f>L492</f>
        <v>0</v>
      </c>
      <c r="M491" s="166">
        <f>M492</f>
        <v>67.3</v>
      </c>
    </row>
    <row r="492" spans="1:13" s="396" customFormat="1" ht="56.25">
      <c r="A492" s="151"/>
      <c r="B492" s="164" t="s">
        <v>75</v>
      </c>
      <c r="C492" s="165" t="s">
        <v>611</v>
      </c>
      <c r="D492" s="150" t="s">
        <v>246</v>
      </c>
      <c r="E492" s="150" t="s">
        <v>100</v>
      </c>
      <c r="F492" s="744" t="s">
        <v>59</v>
      </c>
      <c r="G492" s="745" t="s">
        <v>50</v>
      </c>
      <c r="H492" s="745" t="s">
        <v>57</v>
      </c>
      <c r="I492" s="746" t="s">
        <v>479</v>
      </c>
      <c r="J492" s="150" t="s">
        <v>76</v>
      </c>
      <c r="K492" s="166">
        <v>67.3</v>
      </c>
      <c r="L492" s="166">
        <f t="shared" si="101"/>
        <v>0</v>
      </c>
      <c r="M492" s="166">
        <v>67.3</v>
      </c>
    </row>
    <row r="493" spans="1:13" s="396" customFormat="1" ht="34.5" customHeight="1">
      <c r="A493" s="151"/>
      <c r="B493" s="164" t="s">
        <v>230</v>
      </c>
      <c r="C493" s="165" t="s">
        <v>611</v>
      </c>
      <c r="D493" s="150" t="s">
        <v>246</v>
      </c>
      <c r="E493" s="150" t="s">
        <v>100</v>
      </c>
      <c r="F493" s="744" t="s">
        <v>59</v>
      </c>
      <c r="G493" s="745" t="s">
        <v>50</v>
      </c>
      <c r="H493" s="745" t="s">
        <v>57</v>
      </c>
      <c r="I493" s="746" t="s">
        <v>314</v>
      </c>
      <c r="J493" s="150"/>
      <c r="K493" s="166">
        <f>K494</f>
        <v>10</v>
      </c>
      <c r="L493" s="166">
        <f>L494</f>
        <v>0</v>
      </c>
      <c r="M493" s="166">
        <f>M494</f>
        <v>10</v>
      </c>
    </row>
    <row r="494" spans="1:13" s="396" customFormat="1" ht="57" customHeight="1">
      <c r="A494" s="151"/>
      <c r="B494" s="164" t="s">
        <v>75</v>
      </c>
      <c r="C494" s="165" t="s">
        <v>611</v>
      </c>
      <c r="D494" s="150" t="s">
        <v>246</v>
      </c>
      <c r="E494" s="150" t="s">
        <v>100</v>
      </c>
      <c r="F494" s="744" t="s">
        <v>59</v>
      </c>
      <c r="G494" s="745" t="s">
        <v>50</v>
      </c>
      <c r="H494" s="745" t="s">
        <v>57</v>
      </c>
      <c r="I494" s="746" t="s">
        <v>314</v>
      </c>
      <c r="J494" s="150" t="s">
        <v>76</v>
      </c>
      <c r="K494" s="166">
        <v>10</v>
      </c>
      <c r="L494" s="166">
        <f>M494-K494</f>
        <v>0</v>
      </c>
      <c r="M494" s="166">
        <v>10</v>
      </c>
    </row>
    <row r="495" spans="1:13" s="396" customFormat="1" ht="116.25" customHeight="1">
      <c r="A495" s="151"/>
      <c r="B495" s="164" t="s">
        <v>415</v>
      </c>
      <c r="C495" s="165" t="s">
        <v>611</v>
      </c>
      <c r="D495" s="150" t="s">
        <v>246</v>
      </c>
      <c r="E495" s="150" t="s">
        <v>100</v>
      </c>
      <c r="F495" s="744" t="s">
        <v>59</v>
      </c>
      <c r="G495" s="745" t="s">
        <v>50</v>
      </c>
      <c r="H495" s="745" t="s">
        <v>57</v>
      </c>
      <c r="I495" s="746" t="s">
        <v>310</v>
      </c>
      <c r="J495" s="150"/>
      <c r="K495" s="166">
        <f>K496+K497</f>
        <v>6189.9</v>
      </c>
      <c r="L495" s="166">
        <f>L496+L497</f>
        <v>0</v>
      </c>
      <c r="M495" s="166">
        <f>M496+M497</f>
        <v>6189.9</v>
      </c>
    </row>
    <row r="496" spans="1:13" s="396" customFormat="1" ht="112.5" customHeight="1">
      <c r="A496" s="151"/>
      <c r="B496" s="164" t="s">
        <v>69</v>
      </c>
      <c r="C496" s="165" t="s">
        <v>611</v>
      </c>
      <c r="D496" s="150" t="s">
        <v>246</v>
      </c>
      <c r="E496" s="150" t="s">
        <v>100</v>
      </c>
      <c r="F496" s="744" t="s">
        <v>59</v>
      </c>
      <c r="G496" s="745" t="s">
        <v>50</v>
      </c>
      <c r="H496" s="745" t="s">
        <v>57</v>
      </c>
      <c r="I496" s="746" t="s">
        <v>310</v>
      </c>
      <c r="J496" s="150" t="s">
        <v>70</v>
      </c>
      <c r="K496" s="166">
        <v>5863.4</v>
      </c>
      <c r="L496" s="166">
        <f t="shared" ref="L496:L497" si="102">M496-K496</f>
        <v>0</v>
      </c>
      <c r="M496" s="166">
        <v>5863.4</v>
      </c>
    </row>
    <row r="497" spans="1:13" s="396" customFormat="1" ht="56.25" customHeight="1">
      <c r="A497" s="151"/>
      <c r="B497" s="164" t="s">
        <v>75</v>
      </c>
      <c r="C497" s="165" t="s">
        <v>611</v>
      </c>
      <c r="D497" s="150" t="s">
        <v>246</v>
      </c>
      <c r="E497" s="150" t="s">
        <v>100</v>
      </c>
      <c r="F497" s="744" t="s">
        <v>59</v>
      </c>
      <c r="G497" s="745" t="s">
        <v>50</v>
      </c>
      <c r="H497" s="745" t="s">
        <v>57</v>
      </c>
      <c r="I497" s="746" t="s">
        <v>310</v>
      </c>
      <c r="J497" s="150" t="s">
        <v>76</v>
      </c>
      <c r="K497" s="166">
        <v>326.5</v>
      </c>
      <c r="L497" s="166">
        <f t="shared" si="102"/>
        <v>0</v>
      </c>
      <c r="M497" s="166">
        <v>326.5</v>
      </c>
    </row>
    <row r="498" spans="1:13" s="396" customFormat="1" ht="18.75" customHeight="1">
      <c r="A498" s="151"/>
      <c r="B498" s="169" t="s">
        <v>140</v>
      </c>
      <c r="C498" s="165" t="s">
        <v>611</v>
      </c>
      <c r="D498" s="150" t="s">
        <v>125</v>
      </c>
      <c r="E498" s="150"/>
      <c r="F498" s="744"/>
      <c r="G498" s="745"/>
      <c r="H498" s="745"/>
      <c r="I498" s="746"/>
      <c r="J498" s="150"/>
      <c r="K498" s="166">
        <f t="shared" ref="K498:M499" si="103">K499</f>
        <v>8034.2</v>
      </c>
      <c r="L498" s="166">
        <f t="shared" si="103"/>
        <v>0</v>
      </c>
      <c r="M498" s="166">
        <f t="shared" si="103"/>
        <v>8034.2</v>
      </c>
    </row>
    <row r="499" spans="1:13" s="396" customFormat="1" ht="18.75" customHeight="1">
      <c r="A499" s="151"/>
      <c r="B499" s="169" t="s">
        <v>215</v>
      </c>
      <c r="C499" s="165" t="s">
        <v>611</v>
      </c>
      <c r="D499" s="150" t="s">
        <v>125</v>
      </c>
      <c r="E499" s="150" t="s">
        <v>72</v>
      </c>
      <c r="F499" s="744"/>
      <c r="G499" s="745"/>
      <c r="H499" s="745"/>
      <c r="I499" s="746"/>
      <c r="J499" s="150"/>
      <c r="K499" s="166">
        <f t="shared" si="103"/>
        <v>8034.2</v>
      </c>
      <c r="L499" s="166">
        <f t="shared" si="103"/>
        <v>0</v>
      </c>
      <c r="M499" s="166">
        <f t="shared" si="103"/>
        <v>8034.2</v>
      </c>
    </row>
    <row r="500" spans="1:13" s="396" customFormat="1" ht="56.25" customHeight="1">
      <c r="A500" s="151"/>
      <c r="B500" s="164" t="s">
        <v>227</v>
      </c>
      <c r="C500" s="165" t="s">
        <v>611</v>
      </c>
      <c r="D500" s="150" t="s">
        <v>125</v>
      </c>
      <c r="E500" s="150" t="s">
        <v>72</v>
      </c>
      <c r="F500" s="744" t="s">
        <v>59</v>
      </c>
      <c r="G500" s="745" t="s">
        <v>62</v>
      </c>
      <c r="H500" s="745" t="s">
        <v>63</v>
      </c>
      <c r="I500" s="746" t="s">
        <v>64</v>
      </c>
      <c r="J500" s="150"/>
      <c r="K500" s="166">
        <f t="shared" ref="K500:M502" si="104">K501</f>
        <v>8034.2</v>
      </c>
      <c r="L500" s="166">
        <f t="shared" si="104"/>
        <v>0</v>
      </c>
      <c r="M500" s="166">
        <f t="shared" si="104"/>
        <v>8034.2</v>
      </c>
    </row>
    <row r="501" spans="1:13" s="396" customFormat="1" ht="37.5" customHeight="1">
      <c r="A501" s="151"/>
      <c r="B501" s="164" t="s">
        <v>228</v>
      </c>
      <c r="C501" s="165" t="s">
        <v>611</v>
      </c>
      <c r="D501" s="150" t="s">
        <v>125</v>
      </c>
      <c r="E501" s="150" t="s">
        <v>72</v>
      </c>
      <c r="F501" s="744" t="s">
        <v>59</v>
      </c>
      <c r="G501" s="745" t="s">
        <v>65</v>
      </c>
      <c r="H501" s="745" t="s">
        <v>63</v>
      </c>
      <c r="I501" s="746" t="s">
        <v>64</v>
      </c>
      <c r="J501" s="150"/>
      <c r="K501" s="166">
        <f t="shared" si="104"/>
        <v>8034.2</v>
      </c>
      <c r="L501" s="166">
        <f t="shared" si="104"/>
        <v>0</v>
      </c>
      <c r="M501" s="166">
        <f t="shared" si="104"/>
        <v>8034.2</v>
      </c>
    </row>
    <row r="502" spans="1:13" s="396" customFormat="1" ht="37.5" customHeight="1">
      <c r="A502" s="151"/>
      <c r="B502" s="164" t="s">
        <v>307</v>
      </c>
      <c r="C502" s="165" t="s">
        <v>611</v>
      </c>
      <c r="D502" s="150" t="s">
        <v>125</v>
      </c>
      <c r="E502" s="150" t="s">
        <v>72</v>
      </c>
      <c r="F502" s="744" t="s">
        <v>59</v>
      </c>
      <c r="G502" s="745" t="s">
        <v>65</v>
      </c>
      <c r="H502" s="745" t="s">
        <v>57</v>
      </c>
      <c r="I502" s="746" t="s">
        <v>64</v>
      </c>
      <c r="J502" s="150"/>
      <c r="K502" s="166">
        <f t="shared" si="104"/>
        <v>8034.2</v>
      </c>
      <c r="L502" s="166">
        <f t="shared" si="104"/>
        <v>0</v>
      </c>
      <c r="M502" s="166">
        <f t="shared" si="104"/>
        <v>8034.2</v>
      </c>
    </row>
    <row r="503" spans="1:13" s="396" customFormat="1" ht="136.5" customHeight="1">
      <c r="A503" s="151"/>
      <c r="B503" s="164" t="s">
        <v>323</v>
      </c>
      <c r="C503" s="165" t="s">
        <v>611</v>
      </c>
      <c r="D503" s="150" t="s">
        <v>125</v>
      </c>
      <c r="E503" s="150" t="s">
        <v>72</v>
      </c>
      <c r="F503" s="744" t="s">
        <v>59</v>
      </c>
      <c r="G503" s="745" t="s">
        <v>65</v>
      </c>
      <c r="H503" s="745" t="s">
        <v>57</v>
      </c>
      <c r="I503" s="746" t="s">
        <v>324</v>
      </c>
      <c r="J503" s="150"/>
      <c r="K503" s="166">
        <f>K504+K505</f>
        <v>8034.2</v>
      </c>
      <c r="L503" s="166">
        <f>L504+L505</f>
        <v>0</v>
      </c>
      <c r="M503" s="166">
        <f>M504+M505</f>
        <v>8034.2</v>
      </c>
    </row>
    <row r="504" spans="1:13" s="396" customFormat="1" ht="56.25" customHeight="1">
      <c r="A504" s="151"/>
      <c r="B504" s="164" t="s">
        <v>75</v>
      </c>
      <c r="C504" s="165" t="s">
        <v>611</v>
      </c>
      <c r="D504" s="150" t="s">
        <v>125</v>
      </c>
      <c r="E504" s="150" t="s">
        <v>72</v>
      </c>
      <c r="F504" s="744" t="s">
        <v>59</v>
      </c>
      <c r="G504" s="745" t="s">
        <v>65</v>
      </c>
      <c r="H504" s="745" t="s">
        <v>57</v>
      </c>
      <c r="I504" s="746" t="s">
        <v>324</v>
      </c>
      <c r="J504" s="150" t="s">
        <v>76</v>
      </c>
      <c r="K504" s="166">
        <v>118.7</v>
      </c>
      <c r="L504" s="166">
        <f t="shared" ref="L504:L505" si="105">M504-K504</f>
        <v>0</v>
      </c>
      <c r="M504" s="166">
        <v>118.7</v>
      </c>
    </row>
    <row r="505" spans="1:13" s="396" customFormat="1" ht="37.5" customHeight="1">
      <c r="A505" s="151"/>
      <c r="B505" s="168" t="s">
        <v>141</v>
      </c>
      <c r="C505" s="165" t="s">
        <v>611</v>
      </c>
      <c r="D505" s="150" t="s">
        <v>125</v>
      </c>
      <c r="E505" s="150" t="s">
        <v>72</v>
      </c>
      <c r="F505" s="744" t="s">
        <v>59</v>
      </c>
      <c r="G505" s="745" t="s">
        <v>65</v>
      </c>
      <c r="H505" s="745" t="s">
        <v>57</v>
      </c>
      <c r="I505" s="746" t="s">
        <v>324</v>
      </c>
      <c r="J505" s="150" t="s">
        <v>142</v>
      </c>
      <c r="K505" s="166">
        <v>7915.5</v>
      </c>
      <c r="L505" s="166">
        <f t="shared" si="105"/>
        <v>0</v>
      </c>
      <c r="M505" s="166">
        <v>7915.5</v>
      </c>
    </row>
    <row r="506" spans="1:13" s="413" customFormat="1" ht="18.75" customHeight="1">
      <c r="A506" s="408"/>
      <c r="B506" s="363"/>
      <c r="C506" s="450"/>
      <c r="D506" s="451"/>
      <c r="E506" s="451"/>
      <c r="F506" s="452"/>
      <c r="G506" s="453"/>
      <c r="H506" s="453"/>
      <c r="I506" s="454"/>
      <c r="J506" s="451"/>
      <c r="K506" s="412"/>
      <c r="L506" s="731"/>
      <c r="M506" s="412"/>
    </row>
    <row r="507" spans="1:13" s="392" customFormat="1" ht="56.25" customHeight="1">
      <c r="A507" s="391">
        <v>6</v>
      </c>
      <c r="B507" s="429" t="s">
        <v>25</v>
      </c>
      <c r="C507" s="159" t="s">
        <v>377</v>
      </c>
      <c r="D507" s="160"/>
      <c r="E507" s="160"/>
      <c r="F507" s="161"/>
      <c r="G507" s="162"/>
      <c r="H507" s="162"/>
      <c r="I507" s="163"/>
      <c r="J507" s="160"/>
      <c r="K507" s="189">
        <f>K515+K538+K508</f>
        <v>91337.8</v>
      </c>
      <c r="L507" s="189">
        <f>L515+L538+L508</f>
        <v>519.99999999999875</v>
      </c>
      <c r="M507" s="189">
        <f>M515+M538+M508</f>
        <v>91857.8</v>
      </c>
    </row>
    <row r="508" spans="1:13" s="392" customFormat="1" ht="24.75" customHeight="1">
      <c r="A508" s="391"/>
      <c r="B508" s="164" t="s">
        <v>56</v>
      </c>
      <c r="C508" s="165" t="s">
        <v>377</v>
      </c>
      <c r="D508" s="181" t="s">
        <v>57</v>
      </c>
      <c r="E508" s="160"/>
      <c r="F508" s="161"/>
      <c r="G508" s="162"/>
      <c r="H508" s="162"/>
      <c r="I508" s="163"/>
      <c r="J508" s="160"/>
      <c r="K508" s="583">
        <f t="shared" ref="K508:M513" si="106">K509</f>
        <v>131.19999999999999</v>
      </c>
      <c r="L508" s="583">
        <f t="shared" si="106"/>
        <v>0</v>
      </c>
      <c r="M508" s="583">
        <f t="shared" si="106"/>
        <v>131.19999999999999</v>
      </c>
    </row>
    <row r="509" spans="1:13" s="392" customFormat="1" ht="20.25" customHeight="1">
      <c r="A509" s="391"/>
      <c r="B509" s="164" t="s">
        <v>91</v>
      </c>
      <c r="C509" s="165" t="s">
        <v>377</v>
      </c>
      <c r="D509" s="181" t="s">
        <v>57</v>
      </c>
      <c r="E509" s="181" t="s">
        <v>92</v>
      </c>
      <c r="F509" s="161"/>
      <c r="G509" s="162"/>
      <c r="H509" s="162"/>
      <c r="I509" s="163"/>
      <c r="J509" s="160"/>
      <c r="K509" s="583">
        <f>K511</f>
        <v>131.19999999999999</v>
      </c>
      <c r="L509" s="583">
        <f>L511</f>
        <v>0</v>
      </c>
      <c r="M509" s="583">
        <f>M511</f>
        <v>131.19999999999999</v>
      </c>
    </row>
    <row r="510" spans="1:13" s="392" customFormat="1" ht="56.25">
      <c r="A510" s="391"/>
      <c r="B510" s="170" t="s">
        <v>235</v>
      </c>
      <c r="C510" s="165" t="s">
        <v>377</v>
      </c>
      <c r="D510" s="150" t="s">
        <v>57</v>
      </c>
      <c r="E510" s="150" t="s">
        <v>92</v>
      </c>
      <c r="F510" s="744" t="s">
        <v>84</v>
      </c>
      <c r="G510" s="745" t="s">
        <v>62</v>
      </c>
      <c r="H510" s="745" t="s">
        <v>63</v>
      </c>
      <c r="I510" s="746" t="s">
        <v>64</v>
      </c>
      <c r="J510" s="160"/>
      <c r="K510" s="583">
        <f>K511</f>
        <v>131.19999999999999</v>
      </c>
      <c r="L510" s="583">
        <f>L511</f>
        <v>0</v>
      </c>
      <c r="M510" s="583">
        <f>M511</f>
        <v>131.19999999999999</v>
      </c>
    </row>
    <row r="511" spans="1:13" s="392" customFormat="1" ht="56.25" customHeight="1">
      <c r="A511" s="391"/>
      <c r="B511" s="164" t="s">
        <v>238</v>
      </c>
      <c r="C511" s="165" t="s">
        <v>377</v>
      </c>
      <c r="D511" s="181" t="s">
        <v>57</v>
      </c>
      <c r="E511" s="181" t="s">
        <v>92</v>
      </c>
      <c r="F511" s="580" t="s">
        <v>84</v>
      </c>
      <c r="G511" s="581" t="s">
        <v>50</v>
      </c>
      <c r="H511" s="581" t="s">
        <v>63</v>
      </c>
      <c r="I511" s="582" t="s">
        <v>64</v>
      </c>
      <c r="J511" s="160"/>
      <c r="K511" s="583">
        <f t="shared" si="106"/>
        <v>131.19999999999999</v>
      </c>
      <c r="L511" s="583">
        <f t="shared" si="106"/>
        <v>0</v>
      </c>
      <c r="M511" s="583">
        <f t="shared" si="106"/>
        <v>131.19999999999999</v>
      </c>
    </row>
    <row r="512" spans="1:13" s="392" customFormat="1" ht="37.5" customHeight="1">
      <c r="A512" s="391"/>
      <c r="B512" s="164" t="s">
        <v>428</v>
      </c>
      <c r="C512" s="165" t="s">
        <v>377</v>
      </c>
      <c r="D512" s="181" t="s">
        <v>57</v>
      </c>
      <c r="E512" s="181" t="s">
        <v>92</v>
      </c>
      <c r="F512" s="580" t="s">
        <v>84</v>
      </c>
      <c r="G512" s="581" t="s">
        <v>50</v>
      </c>
      <c r="H512" s="581" t="s">
        <v>59</v>
      </c>
      <c r="I512" s="582" t="s">
        <v>64</v>
      </c>
      <c r="J512" s="160"/>
      <c r="K512" s="583">
        <f t="shared" si="106"/>
        <v>131.19999999999999</v>
      </c>
      <c r="L512" s="583">
        <f t="shared" si="106"/>
        <v>0</v>
      </c>
      <c r="M512" s="583">
        <f t="shared" si="106"/>
        <v>131.19999999999999</v>
      </c>
    </row>
    <row r="513" spans="1:13" s="392" customFormat="1" ht="54.75" customHeight="1">
      <c r="A513" s="391"/>
      <c r="B513" s="164" t="s">
        <v>429</v>
      </c>
      <c r="C513" s="165" t="s">
        <v>377</v>
      </c>
      <c r="D513" s="181" t="s">
        <v>57</v>
      </c>
      <c r="E513" s="181" t="s">
        <v>92</v>
      </c>
      <c r="F513" s="580" t="s">
        <v>84</v>
      </c>
      <c r="G513" s="581" t="s">
        <v>50</v>
      </c>
      <c r="H513" s="581" t="s">
        <v>59</v>
      </c>
      <c r="I513" s="582" t="s">
        <v>126</v>
      </c>
      <c r="J513" s="160"/>
      <c r="K513" s="583">
        <f t="shared" si="106"/>
        <v>131.19999999999999</v>
      </c>
      <c r="L513" s="583">
        <f t="shared" si="106"/>
        <v>0</v>
      </c>
      <c r="M513" s="583">
        <f t="shared" si="106"/>
        <v>131.19999999999999</v>
      </c>
    </row>
    <row r="514" spans="1:13" s="392" customFormat="1" ht="56.25" customHeight="1">
      <c r="A514" s="391"/>
      <c r="B514" s="164" t="s">
        <v>75</v>
      </c>
      <c r="C514" s="165" t="s">
        <v>377</v>
      </c>
      <c r="D514" s="181" t="s">
        <v>57</v>
      </c>
      <c r="E514" s="181" t="s">
        <v>92</v>
      </c>
      <c r="F514" s="580" t="s">
        <v>84</v>
      </c>
      <c r="G514" s="581" t="s">
        <v>50</v>
      </c>
      <c r="H514" s="581" t="s">
        <v>59</v>
      </c>
      <c r="I514" s="582" t="s">
        <v>126</v>
      </c>
      <c r="J514" s="181" t="s">
        <v>76</v>
      </c>
      <c r="K514" s="583">
        <f>50.7+80.5</f>
        <v>131.19999999999999</v>
      </c>
      <c r="L514" s="166">
        <f>M514-K514</f>
        <v>0</v>
      </c>
      <c r="M514" s="583">
        <f>50.7+80.5</f>
        <v>131.19999999999999</v>
      </c>
    </row>
    <row r="515" spans="1:13" s="147" customFormat="1" ht="18.75" customHeight="1">
      <c r="A515" s="151"/>
      <c r="B515" s="170" t="s">
        <v>201</v>
      </c>
      <c r="C515" s="165" t="s">
        <v>377</v>
      </c>
      <c r="D515" s="150" t="s">
        <v>246</v>
      </c>
      <c r="E515" s="150"/>
      <c r="F515" s="744"/>
      <c r="G515" s="745"/>
      <c r="H515" s="745"/>
      <c r="I515" s="746"/>
      <c r="J515" s="150"/>
      <c r="K515" s="166">
        <f>K516+K532+K526</f>
        <v>56645.9</v>
      </c>
      <c r="L515" s="166">
        <f>L516+L532+L526</f>
        <v>102.09999999999854</v>
      </c>
      <c r="M515" s="166">
        <f>M516+M532+M526</f>
        <v>56748</v>
      </c>
    </row>
    <row r="516" spans="1:13" s="392" customFormat="1" ht="18.75" customHeight="1">
      <c r="A516" s="151"/>
      <c r="B516" s="170" t="s">
        <v>424</v>
      </c>
      <c r="C516" s="165" t="s">
        <v>377</v>
      </c>
      <c r="D516" s="150" t="s">
        <v>246</v>
      </c>
      <c r="E516" s="150" t="s">
        <v>84</v>
      </c>
      <c r="F516" s="744"/>
      <c r="G516" s="745"/>
      <c r="H516" s="745"/>
      <c r="I516" s="746"/>
      <c r="J516" s="150"/>
      <c r="K516" s="166">
        <f t="shared" ref="K516:M517" si="107">K517</f>
        <v>56170</v>
      </c>
      <c r="L516" s="166">
        <f t="shared" si="107"/>
        <v>102.09999999999854</v>
      </c>
      <c r="M516" s="166">
        <f t="shared" si="107"/>
        <v>56272.1</v>
      </c>
    </row>
    <row r="517" spans="1:13" s="392" customFormat="1" ht="56.25" customHeight="1">
      <c r="A517" s="151"/>
      <c r="B517" s="170" t="s">
        <v>235</v>
      </c>
      <c r="C517" s="165" t="s">
        <v>377</v>
      </c>
      <c r="D517" s="150" t="s">
        <v>246</v>
      </c>
      <c r="E517" s="150" t="s">
        <v>84</v>
      </c>
      <c r="F517" s="744" t="s">
        <v>84</v>
      </c>
      <c r="G517" s="745" t="s">
        <v>62</v>
      </c>
      <c r="H517" s="745" t="s">
        <v>63</v>
      </c>
      <c r="I517" s="746" t="s">
        <v>64</v>
      </c>
      <c r="J517" s="150"/>
      <c r="K517" s="166">
        <f t="shared" si="107"/>
        <v>56170</v>
      </c>
      <c r="L517" s="166">
        <f t="shared" si="107"/>
        <v>102.09999999999854</v>
      </c>
      <c r="M517" s="166">
        <f t="shared" si="107"/>
        <v>56272.1</v>
      </c>
    </row>
    <row r="518" spans="1:13" s="392" customFormat="1" ht="75" customHeight="1">
      <c r="A518" s="151"/>
      <c r="B518" s="170" t="s">
        <v>236</v>
      </c>
      <c r="C518" s="165" t="s">
        <v>377</v>
      </c>
      <c r="D518" s="150" t="s">
        <v>246</v>
      </c>
      <c r="E518" s="150" t="s">
        <v>84</v>
      </c>
      <c r="F518" s="744" t="s">
        <v>84</v>
      </c>
      <c r="G518" s="745" t="s">
        <v>65</v>
      </c>
      <c r="H518" s="745" t="s">
        <v>63</v>
      </c>
      <c r="I518" s="746" t="s">
        <v>64</v>
      </c>
      <c r="J518" s="150"/>
      <c r="K518" s="166">
        <f>K519</f>
        <v>56170</v>
      </c>
      <c r="L518" s="166">
        <f>L519</f>
        <v>102.09999999999854</v>
      </c>
      <c r="M518" s="166">
        <f>M519</f>
        <v>56272.1</v>
      </c>
    </row>
    <row r="519" spans="1:13" s="392" customFormat="1" ht="37.5" customHeight="1">
      <c r="A519" s="151"/>
      <c r="B519" s="170" t="s">
        <v>316</v>
      </c>
      <c r="C519" s="165" t="s">
        <v>377</v>
      </c>
      <c r="D519" s="150" t="s">
        <v>246</v>
      </c>
      <c r="E519" s="150" t="s">
        <v>84</v>
      </c>
      <c r="F519" s="744" t="s">
        <v>84</v>
      </c>
      <c r="G519" s="745" t="s">
        <v>65</v>
      </c>
      <c r="H519" s="745" t="s">
        <v>57</v>
      </c>
      <c r="I519" s="746" t="s">
        <v>64</v>
      </c>
      <c r="J519" s="150"/>
      <c r="K519" s="166">
        <f>K520+K524+K522</f>
        <v>56170</v>
      </c>
      <c r="L519" s="166">
        <f>L520+L524+L522</f>
        <v>102.09999999999854</v>
      </c>
      <c r="M519" s="166">
        <f>M520+M524+M522</f>
        <v>56272.1</v>
      </c>
    </row>
    <row r="520" spans="1:13" s="392" customFormat="1" ht="37.5" customHeight="1">
      <c r="A520" s="151"/>
      <c r="B520" s="167" t="s">
        <v>800</v>
      </c>
      <c r="C520" s="165" t="s">
        <v>377</v>
      </c>
      <c r="D520" s="150" t="s">
        <v>246</v>
      </c>
      <c r="E520" s="150" t="s">
        <v>84</v>
      </c>
      <c r="F520" s="744" t="s">
        <v>84</v>
      </c>
      <c r="G520" s="745" t="s">
        <v>65</v>
      </c>
      <c r="H520" s="745" t="s">
        <v>57</v>
      </c>
      <c r="I520" s="746" t="s">
        <v>112</v>
      </c>
      <c r="J520" s="150"/>
      <c r="K520" s="166">
        <f>K521</f>
        <v>53968.800000000003</v>
      </c>
      <c r="L520" s="166">
        <f>L521</f>
        <v>102.09999999999854</v>
      </c>
      <c r="M520" s="166">
        <f>M521</f>
        <v>54070.9</v>
      </c>
    </row>
    <row r="521" spans="1:13" s="147" customFormat="1" ht="56.25" customHeight="1">
      <c r="A521" s="151"/>
      <c r="B521" s="168" t="s">
        <v>97</v>
      </c>
      <c r="C521" s="165" t="s">
        <v>377</v>
      </c>
      <c r="D521" s="150" t="s">
        <v>246</v>
      </c>
      <c r="E521" s="150" t="s">
        <v>84</v>
      </c>
      <c r="F521" s="744" t="s">
        <v>84</v>
      </c>
      <c r="G521" s="745" t="s">
        <v>65</v>
      </c>
      <c r="H521" s="745" t="s">
        <v>57</v>
      </c>
      <c r="I521" s="746" t="s">
        <v>112</v>
      </c>
      <c r="J521" s="150" t="s">
        <v>98</v>
      </c>
      <c r="K521" s="166">
        <v>53968.800000000003</v>
      </c>
      <c r="L521" s="166">
        <f>M521-K521</f>
        <v>102.09999999999854</v>
      </c>
      <c r="M521" s="764">
        <f>53968.8+65+37.1</f>
        <v>54070.9</v>
      </c>
    </row>
    <row r="522" spans="1:13" s="147" customFormat="1" ht="21" customHeight="1">
      <c r="A522" s="151"/>
      <c r="B522" s="168" t="s">
        <v>801</v>
      </c>
      <c r="C522" s="165" t="s">
        <v>377</v>
      </c>
      <c r="D522" s="150" t="s">
        <v>246</v>
      </c>
      <c r="E522" s="150" t="s">
        <v>84</v>
      </c>
      <c r="F522" s="744" t="s">
        <v>84</v>
      </c>
      <c r="G522" s="745" t="s">
        <v>65</v>
      </c>
      <c r="H522" s="745" t="s">
        <v>57</v>
      </c>
      <c r="I522" s="746" t="s">
        <v>479</v>
      </c>
      <c r="J522" s="150"/>
      <c r="K522" s="166">
        <f>K523</f>
        <v>337.2</v>
      </c>
      <c r="L522" s="166">
        <f>L523</f>
        <v>0</v>
      </c>
      <c r="M522" s="166">
        <f>M523</f>
        <v>337.2</v>
      </c>
    </row>
    <row r="523" spans="1:13" s="147" customFormat="1" ht="56.25" customHeight="1">
      <c r="A523" s="151"/>
      <c r="B523" s="168" t="s">
        <v>97</v>
      </c>
      <c r="C523" s="165" t="s">
        <v>377</v>
      </c>
      <c r="D523" s="150" t="s">
        <v>246</v>
      </c>
      <c r="E523" s="150" t="s">
        <v>84</v>
      </c>
      <c r="F523" s="744" t="s">
        <v>84</v>
      </c>
      <c r="G523" s="745" t="s">
        <v>65</v>
      </c>
      <c r="H523" s="745" t="s">
        <v>57</v>
      </c>
      <c r="I523" s="746" t="s">
        <v>479</v>
      </c>
      <c r="J523" s="150" t="s">
        <v>98</v>
      </c>
      <c r="K523" s="166">
        <v>337.2</v>
      </c>
      <c r="L523" s="166">
        <f>M523-K523</f>
        <v>0</v>
      </c>
      <c r="M523" s="166">
        <v>337.2</v>
      </c>
    </row>
    <row r="524" spans="1:13" s="147" customFormat="1" ht="37.5" customHeight="1">
      <c r="A524" s="151"/>
      <c r="B524" s="168" t="s">
        <v>378</v>
      </c>
      <c r="C524" s="165" t="s">
        <v>377</v>
      </c>
      <c r="D524" s="150" t="s">
        <v>246</v>
      </c>
      <c r="E524" s="150" t="s">
        <v>84</v>
      </c>
      <c r="F524" s="744" t="s">
        <v>84</v>
      </c>
      <c r="G524" s="745" t="s">
        <v>65</v>
      </c>
      <c r="H524" s="745" t="s">
        <v>57</v>
      </c>
      <c r="I524" s="746" t="s">
        <v>379</v>
      </c>
      <c r="J524" s="150"/>
      <c r="K524" s="166">
        <f>K525</f>
        <v>1864</v>
      </c>
      <c r="L524" s="166">
        <f>L525</f>
        <v>0</v>
      </c>
      <c r="M524" s="166">
        <f>M525</f>
        <v>1864</v>
      </c>
    </row>
    <row r="525" spans="1:13" s="147" customFormat="1" ht="56.25" customHeight="1">
      <c r="A525" s="151"/>
      <c r="B525" s="168" t="s">
        <v>97</v>
      </c>
      <c r="C525" s="165" t="s">
        <v>377</v>
      </c>
      <c r="D525" s="150" t="s">
        <v>246</v>
      </c>
      <c r="E525" s="150" t="s">
        <v>84</v>
      </c>
      <c r="F525" s="744" t="s">
        <v>84</v>
      </c>
      <c r="G525" s="745" t="s">
        <v>65</v>
      </c>
      <c r="H525" s="745" t="s">
        <v>57</v>
      </c>
      <c r="I525" s="746" t="s">
        <v>379</v>
      </c>
      <c r="J525" s="150" t="s">
        <v>98</v>
      </c>
      <c r="K525" s="166">
        <v>1864</v>
      </c>
      <c r="L525" s="166">
        <f>M525-K525</f>
        <v>0</v>
      </c>
      <c r="M525" s="166">
        <v>1864</v>
      </c>
    </row>
    <row r="526" spans="1:13" s="147" customFormat="1" ht="22.5" customHeight="1">
      <c r="A526" s="151"/>
      <c r="B526" s="168" t="s">
        <v>815</v>
      </c>
      <c r="C526" s="165" t="s">
        <v>377</v>
      </c>
      <c r="D526" s="150" t="s">
        <v>246</v>
      </c>
      <c r="E526" s="150" t="s">
        <v>246</v>
      </c>
      <c r="F526" s="744"/>
      <c r="G526" s="745"/>
      <c r="H526" s="745"/>
      <c r="I526" s="746"/>
      <c r="J526" s="150"/>
      <c r="K526" s="166">
        <f t="shared" ref="K526:M530" si="108">K527</f>
        <v>277.89999999999998</v>
      </c>
      <c r="L526" s="166">
        <f t="shared" si="108"/>
        <v>0</v>
      </c>
      <c r="M526" s="166">
        <f t="shared" si="108"/>
        <v>277.89999999999998</v>
      </c>
    </row>
    <row r="527" spans="1:13" s="147" customFormat="1" ht="56.25" customHeight="1">
      <c r="A527" s="151"/>
      <c r="B527" s="170" t="s">
        <v>235</v>
      </c>
      <c r="C527" s="165" t="s">
        <v>377</v>
      </c>
      <c r="D527" s="150" t="s">
        <v>246</v>
      </c>
      <c r="E527" s="150" t="s">
        <v>246</v>
      </c>
      <c r="F527" s="744" t="s">
        <v>84</v>
      </c>
      <c r="G527" s="745" t="s">
        <v>62</v>
      </c>
      <c r="H527" s="745" t="s">
        <v>63</v>
      </c>
      <c r="I527" s="746" t="s">
        <v>64</v>
      </c>
      <c r="J527" s="150"/>
      <c r="K527" s="166">
        <f t="shared" si="108"/>
        <v>277.89999999999998</v>
      </c>
      <c r="L527" s="166">
        <f t="shared" si="108"/>
        <v>0</v>
      </c>
      <c r="M527" s="166">
        <f t="shared" si="108"/>
        <v>277.89999999999998</v>
      </c>
    </row>
    <row r="528" spans="1:13" s="147" customFormat="1" ht="74.25" customHeight="1">
      <c r="A528" s="151"/>
      <c r="B528" s="170" t="s">
        <v>236</v>
      </c>
      <c r="C528" s="165" t="s">
        <v>377</v>
      </c>
      <c r="D528" s="150" t="s">
        <v>246</v>
      </c>
      <c r="E528" s="150" t="s">
        <v>246</v>
      </c>
      <c r="F528" s="744" t="s">
        <v>84</v>
      </c>
      <c r="G528" s="745" t="s">
        <v>65</v>
      </c>
      <c r="H528" s="745" t="s">
        <v>63</v>
      </c>
      <c r="I528" s="746" t="s">
        <v>64</v>
      </c>
      <c r="J528" s="150"/>
      <c r="K528" s="166">
        <f t="shared" si="108"/>
        <v>277.89999999999998</v>
      </c>
      <c r="L528" s="166">
        <f t="shared" si="108"/>
        <v>0</v>
      </c>
      <c r="M528" s="166">
        <f t="shared" si="108"/>
        <v>277.89999999999998</v>
      </c>
    </row>
    <row r="529" spans="1:13" s="147" customFormat="1" ht="54.75" customHeight="1">
      <c r="A529" s="151"/>
      <c r="B529" s="168" t="s">
        <v>321</v>
      </c>
      <c r="C529" s="165" t="s">
        <v>377</v>
      </c>
      <c r="D529" s="150" t="s">
        <v>246</v>
      </c>
      <c r="E529" s="150" t="s">
        <v>246</v>
      </c>
      <c r="F529" s="744" t="s">
        <v>84</v>
      </c>
      <c r="G529" s="745" t="s">
        <v>65</v>
      </c>
      <c r="H529" s="745" t="s">
        <v>86</v>
      </c>
      <c r="I529" s="746" t="s">
        <v>64</v>
      </c>
      <c r="J529" s="150"/>
      <c r="K529" s="166">
        <f t="shared" si="108"/>
        <v>277.89999999999998</v>
      </c>
      <c r="L529" s="166">
        <f t="shared" si="108"/>
        <v>0</v>
      </c>
      <c r="M529" s="166">
        <f t="shared" si="108"/>
        <v>277.89999999999998</v>
      </c>
    </row>
    <row r="530" spans="1:13" s="147" customFormat="1" ht="36.75" customHeight="1">
      <c r="A530" s="151"/>
      <c r="B530" s="168" t="s">
        <v>817</v>
      </c>
      <c r="C530" s="165" t="s">
        <v>377</v>
      </c>
      <c r="D530" s="150" t="s">
        <v>246</v>
      </c>
      <c r="E530" s="150" t="s">
        <v>246</v>
      </c>
      <c r="F530" s="744" t="s">
        <v>84</v>
      </c>
      <c r="G530" s="745" t="s">
        <v>65</v>
      </c>
      <c r="H530" s="745" t="s">
        <v>86</v>
      </c>
      <c r="I530" s="746" t="s">
        <v>816</v>
      </c>
      <c r="J530" s="150"/>
      <c r="K530" s="166">
        <f t="shared" si="108"/>
        <v>277.89999999999998</v>
      </c>
      <c r="L530" s="166">
        <f t="shared" si="108"/>
        <v>0</v>
      </c>
      <c r="M530" s="166">
        <f t="shared" si="108"/>
        <v>277.89999999999998</v>
      </c>
    </row>
    <row r="531" spans="1:13" s="147" customFormat="1" ht="56.25" customHeight="1">
      <c r="A531" s="151"/>
      <c r="B531" s="168" t="s">
        <v>97</v>
      </c>
      <c r="C531" s="165" t="s">
        <v>377</v>
      </c>
      <c r="D531" s="150" t="s">
        <v>246</v>
      </c>
      <c r="E531" s="150" t="s">
        <v>246</v>
      </c>
      <c r="F531" s="744" t="s">
        <v>84</v>
      </c>
      <c r="G531" s="745" t="s">
        <v>65</v>
      </c>
      <c r="H531" s="745" t="s">
        <v>86</v>
      </c>
      <c r="I531" s="746" t="s">
        <v>816</v>
      </c>
      <c r="J531" s="150" t="s">
        <v>98</v>
      </c>
      <c r="K531" s="166">
        <v>277.89999999999998</v>
      </c>
      <c r="L531" s="166">
        <f>M531-K531</f>
        <v>0</v>
      </c>
      <c r="M531" s="166">
        <v>277.89999999999998</v>
      </c>
    </row>
    <row r="532" spans="1:13" s="147" customFormat="1" ht="18.75" customHeight="1">
      <c r="A532" s="151"/>
      <c r="B532" s="164" t="s">
        <v>208</v>
      </c>
      <c r="C532" s="165" t="s">
        <v>377</v>
      </c>
      <c r="D532" s="150" t="s">
        <v>246</v>
      </c>
      <c r="E532" s="150" t="s">
        <v>100</v>
      </c>
      <c r="F532" s="744"/>
      <c r="G532" s="745"/>
      <c r="H532" s="745"/>
      <c r="I532" s="746"/>
      <c r="J532" s="150"/>
      <c r="K532" s="166">
        <f t="shared" ref="K532:M536" si="109">K533</f>
        <v>198</v>
      </c>
      <c r="L532" s="166">
        <f t="shared" si="109"/>
        <v>0</v>
      </c>
      <c r="M532" s="166">
        <f t="shared" si="109"/>
        <v>198</v>
      </c>
    </row>
    <row r="533" spans="1:13" s="147" customFormat="1" ht="56.25" customHeight="1">
      <c r="A533" s="151"/>
      <c r="B533" s="170" t="s">
        <v>235</v>
      </c>
      <c r="C533" s="165" t="s">
        <v>377</v>
      </c>
      <c r="D533" s="150" t="s">
        <v>246</v>
      </c>
      <c r="E533" s="150" t="s">
        <v>100</v>
      </c>
      <c r="F533" s="744" t="s">
        <v>84</v>
      </c>
      <c r="G533" s="745" t="s">
        <v>62</v>
      </c>
      <c r="H533" s="745" t="s">
        <v>63</v>
      </c>
      <c r="I533" s="746" t="s">
        <v>64</v>
      </c>
      <c r="J533" s="150"/>
      <c r="K533" s="166">
        <f t="shared" si="109"/>
        <v>198</v>
      </c>
      <c r="L533" s="166">
        <f t="shared" si="109"/>
        <v>0</v>
      </c>
      <c r="M533" s="166">
        <f t="shared" si="109"/>
        <v>198</v>
      </c>
    </row>
    <row r="534" spans="1:13" s="147" customFormat="1" ht="75" customHeight="1">
      <c r="A534" s="151"/>
      <c r="B534" s="170" t="s">
        <v>236</v>
      </c>
      <c r="C534" s="165" t="s">
        <v>377</v>
      </c>
      <c r="D534" s="150" t="s">
        <v>246</v>
      </c>
      <c r="E534" s="150" t="s">
        <v>100</v>
      </c>
      <c r="F534" s="744" t="s">
        <v>84</v>
      </c>
      <c r="G534" s="745" t="s">
        <v>65</v>
      </c>
      <c r="H534" s="745" t="s">
        <v>63</v>
      </c>
      <c r="I534" s="746" t="s">
        <v>64</v>
      </c>
      <c r="J534" s="150"/>
      <c r="K534" s="166">
        <f t="shared" si="109"/>
        <v>198</v>
      </c>
      <c r="L534" s="166">
        <f t="shared" si="109"/>
        <v>0</v>
      </c>
      <c r="M534" s="166">
        <f t="shared" si="109"/>
        <v>198</v>
      </c>
    </row>
    <row r="535" spans="1:13" s="147" customFormat="1" ht="18.75" customHeight="1">
      <c r="A535" s="151"/>
      <c r="B535" s="168" t="s">
        <v>317</v>
      </c>
      <c r="C535" s="165" t="s">
        <v>377</v>
      </c>
      <c r="D535" s="150" t="s">
        <v>246</v>
      </c>
      <c r="E535" s="150" t="s">
        <v>100</v>
      </c>
      <c r="F535" s="744" t="s">
        <v>84</v>
      </c>
      <c r="G535" s="745" t="s">
        <v>65</v>
      </c>
      <c r="H535" s="745" t="s">
        <v>59</v>
      </c>
      <c r="I535" s="746" t="s">
        <v>64</v>
      </c>
      <c r="J535" s="150"/>
      <c r="K535" s="166">
        <f t="shared" si="109"/>
        <v>198</v>
      </c>
      <c r="L535" s="166">
        <f t="shared" si="109"/>
        <v>0</v>
      </c>
      <c r="M535" s="166">
        <f t="shared" si="109"/>
        <v>198</v>
      </c>
    </row>
    <row r="536" spans="1:13" s="147" customFormat="1" ht="40.5" customHeight="1">
      <c r="A536" s="151"/>
      <c r="B536" s="168" t="s">
        <v>233</v>
      </c>
      <c r="C536" s="165" t="s">
        <v>377</v>
      </c>
      <c r="D536" s="150" t="s">
        <v>246</v>
      </c>
      <c r="E536" s="150" t="s">
        <v>100</v>
      </c>
      <c r="F536" s="744" t="s">
        <v>84</v>
      </c>
      <c r="G536" s="745" t="s">
        <v>65</v>
      </c>
      <c r="H536" s="745" t="s">
        <v>59</v>
      </c>
      <c r="I536" s="746" t="s">
        <v>319</v>
      </c>
      <c r="J536" s="150"/>
      <c r="K536" s="166">
        <f t="shared" si="109"/>
        <v>198</v>
      </c>
      <c r="L536" s="166">
        <f t="shared" si="109"/>
        <v>0</v>
      </c>
      <c r="M536" s="166">
        <f t="shared" si="109"/>
        <v>198</v>
      </c>
    </row>
    <row r="537" spans="1:13" s="147" customFormat="1" ht="37.5" customHeight="1">
      <c r="A537" s="151"/>
      <c r="B537" s="168" t="s">
        <v>141</v>
      </c>
      <c r="C537" s="165" t="s">
        <v>377</v>
      </c>
      <c r="D537" s="150" t="s">
        <v>246</v>
      </c>
      <c r="E537" s="150" t="s">
        <v>100</v>
      </c>
      <c r="F537" s="744" t="s">
        <v>84</v>
      </c>
      <c r="G537" s="745" t="s">
        <v>65</v>
      </c>
      <c r="H537" s="745" t="s">
        <v>59</v>
      </c>
      <c r="I537" s="746" t="s">
        <v>319</v>
      </c>
      <c r="J537" s="150" t="s">
        <v>142</v>
      </c>
      <c r="K537" s="166">
        <f>180+18</f>
        <v>198</v>
      </c>
      <c r="L537" s="166">
        <f>M537-K537</f>
        <v>0</v>
      </c>
      <c r="M537" s="166">
        <f>180+18</f>
        <v>198</v>
      </c>
    </row>
    <row r="538" spans="1:13" s="147" customFormat="1" ht="18.75" customHeight="1">
      <c r="A538" s="151"/>
      <c r="B538" s="164" t="s">
        <v>210</v>
      </c>
      <c r="C538" s="165" t="s">
        <v>377</v>
      </c>
      <c r="D538" s="150" t="s">
        <v>248</v>
      </c>
      <c r="E538" s="150"/>
      <c r="F538" s="744"/>
      <c r="G538" s="745"/>
      <c r="H538" s="745"/>
      <c r="I538" s="746"/>
      <c r="J538" s="150"/>
      <c r="K538" s="166">
        <f>K539+K560</f>
        <v>34560.699999999997</v>
      </c>
      <c r="L538" s="166">
        <f>L539+L560</f>
        <v>417.9000000000002</v>
      </c>
      <c r="M538" s="166">
        <f>M539+M560</f>
        <v>34978.600000000006</v>
      </c>
    </row>
    <row r="539" spans="1:13" s="147" customFormat="1" ht="18.75" customHeight="1">
      <c r="A539" s="151"/>
      <c r="B539" s="164" t="s">
        <v>212</v>
      </c>
      <c r="C539" s="165" t="s">
        <v>377</v>
      </c>
      <c r="D539" s="150" t="s">
        <v>248</v>
      </c>
      <c r="E539" s="150" t="s">
        <v>57</v>
      </c>
      <c r="F539" s="744"/>
      <c r="G539" s="745"/>
      <c r="H539" s="745"/>
      <c r="I539" s="746"/>
      <c r="J539" s="150"/>
      <c r="K539" s="166">
        <f>K540</f>
        <v>24624.7</v>
      </c>
      <c r="L539" s="166">
        <f>L540</f>
        <v>106.6</v>
      </c>
      <c r="M539" s="166">
        <f>M540</f>
        <v>24731.300000000003</v>
      </c>
    </row>
    <row r="540" spans="1:13" s="147" customFormat="1" ht="56.25" customHeight="1">
      <c r="A540" s="151"/>
      <c r="B540" s="170" t="s">
        <v>235</v>
      </c>
      <c r="C540" s="165" t="s">
        <v>377</v>
      </c>
      <c r="D540" s="150" t="s">
        <v>248</v>
      </c>
      <c r="E540" s="150" t="s">
        <v>57</v>
      </c>
      <c r="F540" s="744" t="s">
        <v>84</v>
      </c>
      <c r="G540" s="745" t="s">
        <v>62</v>
      </c>
      <c r="H540" s="745" t="s">
        <v>63</v>
      </c>
      <c r="I540" s="746" t="s">
        <v>64</v>
      </c>
      <c r="J540" s="150"/>
      <c r="K540" s="166">
        <f>K541+K554</f>
        <v>24624.7</v>
      </c>
      <c r="L540" s="166">
        <f>L541+L554</f>
        <v>106.6</v>
      </c>
      <c r="M540" s="166">
        <f>M541+M554</f>
        <v>24731.300000000003</v>
      </c>
    </row>
    <row r="541" spans="1:13" s="147" customFormat="1" ht="75" customHeight="1">
      <c r="A541" s="151"/>
      <c r="B541" s="170" t="s">
        <v>236</v>
      </c>
      <c r="C541" s="165" t="s">
        <v>377</v>
      </c>
      <c r="D541" s="150" t="s">
        <v>248</v>
      </c>
      <c r="E541" s="150" t="s">
        <v>57</v>
      </c>
      <c r="F541" s="180" t="s">
        <v>84</v>
      </c>
      <c r="G541" s="321" t="s">
        <v>65</v>
      </c>
      <c r="H541" s="321" t="s">
        <v>63</v>
      </c>
      <c r="I541" s="322" t="s">
        <v>64</v>
      </c>
      <c r="J541" s="323"/>
      <c r="K541" s="166">
        <f>K542+K549</f>
        <v>24564.7</v>
      </c>
      <c r="L541" s="166">
        <f>L542+L549</f>
        <v>106.6</v>
      </c>
      <c r="M541" s="166">
        <f>M542+M549</f>
        <v>24671.300000000003</v>
      </c>
    </row>
    <row r="542" spans="1:13" s="147" customFormat="1" ht="18.75" customHeight="1">
      <c r="A542" s="151"/>
      <c r="B542" s="164" t="s">
        <v>380</v>
      </c>
      <c r="C542" s="165" t="s">
        <v>377</v>
      </c>
      <c r="D542" s="150" t="s">
        <v>248</v>
      </c>
      <c r="E542" s="150" t="s">
        <v>57</v>
      </c>
      <c r="F542" s="180" t="s">
        <v>84</v>
      </c>
      <c r="G542" s="321" t="s">
        <v>65</v>
      </c>
      <c r="H542" s="321" t="s">
        <v>84</v>
      </c>
      <c r="I542" s="322" t="s">
        <v>64</v>
      </c>
      <c r="J542" s="323"/>
      <c r="K542" s="166">
        <f>K543+K545+K547</f>
        <v>11793.2</v>
      </c>
      <c r="L542" s="166">
        <f>L543+L545+L547</f>
        <v>68</v>
      </c>
      <c r="M542" s="166">
        <f>M543+M545+M547</f>
        <v>11861.2</v>
      </c>
    </row>
    <row r="543" spans="1:13" s="147" customFormat="1" ht="35.25" customHeight="1">
      <c r="A543" s="151"/>
      <c r="B543" s="167" t="s">
        <v>800</v>
      </c>
      <c r="C543" s="165" t="s">
        <v>377</v>
      </c>
      <c r="D543" s="150" t="s">
        <v>248</v>
      </c>
      <c r="E543" s="150" t="s">
        <v>57</v>
      </c>
      <c r="F543" s="180" t="s">
        <v>84</v>
      </c>
      <c r="G543" s="321" t="s">
        <v>65</v>
      </c>
      <c r="H543" s="321" t="s">
        <v>84</v>
      </c>
      <c r="I543" s="322" t="s">
        <v>112</v>
      </c>
      <c r="J543" s="323"/>
      <c r="K543" s="166">
        <f>K544</f>
        <v>11202.2</v>
      </c>
      <c r="L543" s="166">
        <f>L544</f>
        <v>13</v>
      </c>
      <c r="M543" s="166">
        <f>M544</f>
        <v>11215.2</v>
      </c>
    </row>
    <row r="544" spans="1:13" s="147" customFormat="1" ht="56.25" customHeight="1">
      <c r="A544" s="151"/>
      <c r="B544" s="168" t="s">
        <v>97</v>
      </c>
      <c r="C544" s="165" t="s">
        <v>377</v>
      </c>
      <c r="D544" s="150" t="s">
        <v>248</v>
      </c>
      <c r="E544" s="150" t="s">
        <v>57</v>
      </c>
      <c r="F544" s="744" t="s">
        <v>84</v>
      </c>
      <c r="G544" s="745" t="s">
        <v>65</v>
      </c>
      <c r="H544" s="745" t="s">
        <v>84</v>
      </c>
      <c r="I544" s="746" t="s">
        <v>112</v>
      </c>
      <c r="J544" s="150" t="s">
        <v>98</v>
      </c>
      <c r="K544" s="166">
        <f>11139.6+62.6</f>
        <v>11202.2</v>
      </c>
      <c r="L544" s="166">
        <f>M544-K544</f>
        <v>13</v>
      </c>
      <c r="M544" s="764">
        <f>11139.6+62.6+13</f>
        <v>11215.2</v>
      </c>
    </row>
    <row r="545" spans="1:13" s="147" customFormat="1" ht="37.5" customHeight="1">
      <c r="A545" s="151"/>
      <c r="B545" s="168" t="s">
        <v>378</v>
      </c>
      <c r="C545" s="165" t="s">
        <v>377</v>
      </c>
      <c r="D545" s="150" t="s">
        <v>248</v>
      </c>
      <c r="E545" s="150" t="s">
        <v>57</v>
      </c>
      <c r="F545" s="180" t="s">
        <v>84</v>
      </c>
      <c r="G545" s="321" t="s">
        <v>65</v>
      </c>
      <c r="H545" s="321" t="s">
        <v>84</v>
      </c>
      <c r="I545" s="322" t="s">
        <v>379</v>
      </c>
      <c r="J545" s="323"/>
      <c r="K545" s="166">
        <f>K546</f>
        <v>150</v>
      </c>
      <c r="L545" s="166">
        <f>L546</f>
        <v>55</v>
      </c>
      <c r="M545" s="166">
        <f>M546</f>
        <v>205</v>
      </c>
    </row>
    <row r="546" spans="1:13" s="147" customFormat="1" ht="56.25" customHeight="1">
      <c r="A546" s="151"/>
      <c r="B546" s="168" t="s">
        <v>97</v>
      </c>
      <c r="C546" s="165" t="s">
        <v>377</v>
      </c>
      <c r="D546" s="150" t="s">
        <v>248</v>
      </c>
      <c r="E546" s="150" t="s">
        <v>57</v>
      </c>
      <c r="F546" s="180" t="s">
        <v>84</v>
      </c>
      <c r="G546" s="321" t="s">
        <v>65</v>
      </c>
      <c r="H546" s="321" t="s">
        <v>84</v>
      </c>
      <c r="I546" s="322" t="s">
        <v>379</v>
      </c>
      <c r="J546" s="323" t="s">
        <v>98</v>
      </c>
      <c r="K546" s="166">
        <v>150</v>
      </c>
      <c r="L546" s="166">
        <f>M546-K546</f>
        <v>55</v>
      </c>
      <c r="M546" s="764">
        <f>150+55</f>
        <v>205</v>
      </c>
    </row>
    <row r="547" spans="1:13" s="147" customFormat="1" ht="56.25" customHeight="1">
      <c r="A547" s="151"/>
      <c r="B547" s="168" t="s">
        <v>237</v>
      </c>
      <c r="C547" s="165" t="s">
        <v>377</v>
      </c>
      <c r="D547" s="150" t="s">
        <v>248</v>
      </c>
      <c r="E547" s="150" t="s">
        <v>57</v>
      </c>
      <c r="F547" s="744" t="s">
        <v>84</v>
      </c>
      <c r="G547" s="745" t="s">
        <v>65</v>
      </c>
      <c r="H547" s="745" t="s">
        <v>84</v>
      </c>
      <c r="I547" s="746" t="s">
        <v>381</v>
      </c>
      <c r="J547" s="150"/>
      <c r="K547" s="166">
        <f>K548</f>
        <v>441</v>
      </c>
      <c r="L547" s="166">
        <f>L548</f>
        <v>0</v>
      </c>
      <c r="M547" s="166">
        <f>M548</f>
        <v>441</v>
      </c>
    </row>
    <row r="548" spans="1:13" s="147" customFormat="1" ht="56.25" customHeight="1">
      <c r="A548" s="151"/>
      <c r="B548" s="168" t="s">
        <v>97</v>
      </c>
      <c r="C548" s="165" t="s">
        <v>377</v>
      </c>
      <c r="D548" s="150" t="s">
        <v>248</v>
      </c>
      <c r="E548" s="150" t="s">
        <v>57</v>
      </c>
      <c r="F548" s="744" t="s">
        <v>84</v>
      </c>
      <c r="G548" s="745" t="s">
        <v>65</v>
      </c>
      <c r="H548" s="745" t="s">
        <v>84</v>
      </c>
      <c r="I548" s="746" t="s">
        <v>381</v>
      </c>
      <c r="J548" s="150" t="s">
        <v>98</v>
      </c>
      <c r="K548" s="166">
        <v>441</v>
      </c>
      <c r="L548" s="166">
        <f>M548-K548</f>
        <v>0</v>
      </c>
      <c r="M548" s="166">
        <v>441</v>
      </c>
    </row>
    <row r="549" spans="1:13" s="147" customFormat="1" ht="37.5" customHeight="1">
      <c r="A549" s="151"/>
      <c r="B549" s="168" t="s">
        <v>382</v>
      </c>
      <c r="C549" s="165" t="s">
        <v>377</v>
      </c>
      <c r="D549" s="150" t="s">
        <v>248</v>
      </c>
      <c r="E549" s="150" t="s">
        <v>57</v>
      </c>
      <c r="F549" s="180" t="s">
        <v>84</v>
      </c>
      <c r="G549" s="321" t="s">
        <v>65</v>
      </c>
      <c r="H549" s="321" t="s">
        <v>72</v>
      </c>
      <c r="I549" s="746" t="s">
        <v>64</v>
      </c>
      <c r="J549" s="150"/>
      <c r="K549" s="166">
        <f>K550</f>
        <v>12771.5</v>
      </c>
      <c r="L549" s="166">
        <f>L550</f>
        <v>38.6</v>
      </c>
      <c r="M549" s="166">
        <f>M550</f>
        <v>12810.1</v>
      </c>
    </row>
    <row r="550" spans="1:13" s="147" customFormat="1" ht="44.25" customHeight="1">
      <c r="A550" s="151"/>
      <c r="B550" s="167" t="s">
        <v>800</v>
      </c>
      <c r="C550" s="165" t="s">
        <v>377</v>
      </c>
      <c r="D550" s="150" t="s">
        <v>248</v>
      </c>
      <c r="E550" s="150" t="s">
        <v>57</v>
      </c>
      <c r="F550" s="180" t="s">
        <v>84</v>
      </c>
      <c r="G550" s="321" t="s">
        <v>65</v>
      </c>
      <c r="H550" s="321" t="s">
        <v>72</v>
      </c>
      <c r="I550" s="322" t="s">
        <v>112</v>
      </c>
      <c r="J550" s="323"/>
      <c r="K550" s="166">
        <f>K551+K552+K553</f>
        <v>12771.5</v>
      </c>
      <c r="L550" s="166">
        <f>L551+L552+L553</f>
        <v>38.6</v>
      </c>
      <c r="M550" s="166">
        <f>M551+M552+M553</f>
        <v>12810.1</v>
      </c>
    </row>
    <row r="551" spans="1:13" s="147" customFormat="1" ht="87" customHeight="1">
      <c r="A551" s="151"/>
      <c r="B551" s="164" t="s">
        <v>69</v>
      </c>
      <c r="C551" s="165" t="s">
        <v>377</v>
      </c>
      <c r="D551" s="150" t="s">
        <v>248</v>
      </c>
      <c r="E551" s="150" t="s">
        <v>57</v>
      </c>
      <c r="F551" s="744" t="s">
        <v>84</v>
      </c>
      <c r="G551" s="745" t="s">
        <v>65</v>
      </c>
      <c r="H551" s="745" t="s">
        <v>72</v>
      </c>
      <c r="I551" s="746" t="s">
        <v>112</v>
      </c>
      <c r="J551" s="150" t="s">
        <v>70</v>
      </c>
      <c r="K551" s="166">
        <v>11426.1</v>
      </c>
      <c r="L551" s="166">
        <f t="shared" ref="L551:L553" si="110">M551-K551</f>
        <v>0</v>
      </c>
      <c r="M551" s="166">
        <v>11426.1</v>
      </c>
    </row>
    <row r="552" spans="1:13" s="147" customFormat="1" ht="40.5" customHeight="1">
      <c r="A552" s="151"/>
      <c r="B552" s="164" t="s">
        <v>75</v>
      </c>
      <c r="C552" s="165" t="s">
        <v>377</v>
      </c>
      <c r="D552" s="150" t="s">
        <v>248</v>
      </c>
      <c r="E552" s="150" t="s">
        <v>57</v>
      </c>
      <c r="F552" s="744" t="s">
        <v>84</v>
      </c>
      <c r="G552" s="745" t="s">
        <v>65</v>
      </c>
      <c r="H552" s="745" t="s">
        <v>72</v>
      </c>
      <c r="I552" s="746" t="s">
        <v>112</v>
      </c>
      <c r="J552" s="150" t="s">
        <v>76</v>
      </c>
      <c r="K552" s="166">
        <f>918.9+405.1</f>
        <v>1324</v>
      </c>
      <c r="L552" s="166">
        <f t="shared" si="110"/>
        <v>13</v>
      </c>
      <c r="M552" s="764">
        <f>918.9+405.1+13</f>
        <v>1337</v>
      </c>
    </row>
    <row r="553" spans="1:13" s="147" customFormat="1" ht="18.75">
      <c r="A553" s="151"/>
      <c r="B553" s="164" t="s">
        <v>77</v>
      </c>
      <c r="C553" s="165" t="s">
        <v>377</v>
      </c>
      <c r="D553" s="150" t="s">
        <v>248</v>
      </c>
      <c r="E553" s="150" t="s">
        <v>57</v>
      </c>
      <c r="F553" s="744" t="s">
        <v>84</v>
      </c>
      <c r="G553" s="745" t="s">
        <v>65</v>
      </c>
      <c r="H553" s="745" t="s">
        <v>72</v>
      </c>
      <c r="I553" s="746" t="s">
        <v>112</v>
      </c>
      <c r="J553" s="150" t="s">
        <v>78</v>
      </c>
      <c r="K553" s="166">
        <v>21.4</v>
      </c>
      <c r="L553" s="166">
        <f t="shared" si="110"/>
        <v>25.6</v>
      </c>
      <c r="M553" s="764">
        <f>21.4+25.6</f>
        <v>47</v>
      </c>
    </row>
    <row r="554" spans="1:13" s="147" customFormat="1" ht="37.5" customHeight="1">
      <c r="A554" s="151"/>
      <c r="B554" s="164" t="s">
        <v>391</v>
      </c>
      <c r="C554" s="165" t="s">
        <v>377</v>
      </c>
      <c r="D554" s="150" t="s">
        <v>248</v>
      </c>
      <c r="E554" s="150" t="s">
        <v>57</v>
      </c>
      <c r="F554" s="180" t="s">
        <v>84</v>
      </c>
      <c r="G554" s="321" t="s">
        <v>110</v>
      </c>
      <c r="H554" s="321" t="s">
        <v>63</v>
      </c>
      <c r="I554" s="746" t="s">
        <v>64</v>
      </c>
      <c r="J554" s="150"/>
      <c r="K554" s="166">
        <f>K555</f>
        <v>60</v>
      </c>
      <c r="L554" s="166">
        <f>L555</f>
        <v>0</v>
      </c>
      <c r="M554" s="166">
        <f>M555</f>
        <v>60</v>
      </c>
    </row>
    <row r="555" spans="1:13" s="147" customFormat="1" ht="92.25" customHeight="1">
      <c r="A555" s="151"/>
      <c r="B555" s="168" t="s">
        <v>383</v>
      </c>
      <c r="C555" s="165" t="s">
        <v>377</v>
      </c>
      <c r="D555" s="150" t="s">
        <v>248</v>
      </c>
      <c r="E555" s="150" t="s">
        <v>57</v>
      </c>
      <c r="F555" s="180" t="s">
        <v>84</v>
      </c>
      <c r="G555" s="321" t="s">
        <v>110</v>
      </c>
      <c r="H555" s="321" t="s">
        <v>84</v>
      </c>
      <c r="I555" s="746" t="s">
        <v>64</v>
      </c>
      <c r="J555" s="150"/>
      <c r="K555" s="166">
        <f>K556+K558</f>
        <v>60</v>
      </c>
      <c r="L555" s="166">
        <f>L556+L558</f>
        <v>0</v>
      </c>
      <c r="M555" s="166">
        <f>M556+M558</f>
        <v>60</v>
      </c>
    </row>
    <row r="556" spans="1:13" s="147" customFormat="1" ht="37.5" customHeight="1">
      <c r="A556" s="151"/>
      <c r="B556" s="168" t="s">
        <v>378</v>
      </c>
      <c r="C556" s="165" t="s">
        <v>377</v>
      </c>
      <c r="D556" s="150" t="s">
        <v>248</v>
      </c>
      <c r="E556" s="150" t="s">
        <v>57</v>
      </c>
      <c r="F556" s="180" t="s">
        <v>84</v>
      </c>
      <c r="G556" s="321" t="s">
        <v>110</v>
      </c>
      <c r="H556" s="321" t="s">
        <v>84</v>
      </c>
      <c r="I556" s="322" t="s">
        <v>379</v>
      </c>
      <c r="J556" s="323"/>
      <c r="K556" s="166">
        <f>K557</f>
        <v>17.899999999999999</v>
      </c>
      <c r="L556" s="166">
        <f>L557</f>
        <v>0</v>
      </c>
      <c r="M556" s="166">
        <f>M557</f>
        <v>17.899999999999999</v>
      </c>
    </row>
    <row r="557" spans="1:13" s="147" customFormat="1" ht="56.25" customHeight="1">
      <c r="A557" s="151"/>
      <c r="B557" s="168" t="s">
        <v>97</v>
      </c>
      <c r="C557" s="165" t="s">
        <v>377</v>
      </c>
      <c r="D557" s="150" t="s">
        <v>248</v>
      </c>
      <c r="E557" s="150" t="s">
        <v>57</v>
      </c>
      <c r="F557" s="744" t="s">
        <v>84</v>
      </c>
      <c r="G557" s="745" t="s">
        <v>110</v>
      </c>
      <c r="H557" s="745" t="s">
        <v>84</v>
      </c>
      <c r="I557" s="746" t="s">
        <v>379</v>
      </c>
      <c r="J557" s="150" t="s">
        <v>98</v>
      </c>
      <c r="K557" s="166">
        <v>17.899999999999999</v>
      </c>
      <c r="L557" s="166">
        <f>M557-K557</f>
        <v>0</v>
      </c>
      <c r="M557" s="166">
        <v>17.899999999999999</v>
      </c>
    </row>
    <row r="558" spans="1:13" s="147" customFormat="1" ht="56.25" customHeight="1">
      <c r="A558" s="151"/>
      <c r="B558" s="168" t="s">
        <v>587</v>
      </c>
      <c r="C558" s="165" t="s">
        <v>377</v>
      </c>
      <c r="D558" s="150" t="s">
        <v>248</v>
      </c>
      <c r="E558" s="150" t="s">
        <v>57</v>
      </c>
      <c r="F558" s="744" t="s">
        <v>84</v>
      </c>
      <c r="G558" s="745" t="s">
        <v>110</v>
      </c>
      <c r="H558" s="745" t="s">
        <v>84</v>
      </c>
      <c r="I558" s="746" t="s">
        <v>588</v>
      </c>
      <c r="J558" s="150"/>
      <c r="K558" s="166">
        <f>K559</f>
        <v>42.1</v>
      </c>
      <c r="L558" s="166">
        <f>L559</f>
        <v>0</v>
      </c>
      <c r="M558" s="166">
        <f>M559</f>
        <v>42.1</v>
      </c>
    </row>
    <row r="559" spans="1:13" s="147" customFormat="1" ht="56.25" customHeight="1">
      <c r="A559" s="151"/>
      <c r="B559" s="168" t="s">
        <v>97</v>
      </c>
      <c r="C559" s="165" t="s">
        <v>377</v>
      </c>
      <c r="D559" s="150" t="s">
        <v>248</v>
      </c>
      <c r="E559" s="150" t="s">
        <v>57</v>
      </c>
      <c r="F559" s="744" t="s">
        <v>84</v>
      </c>
      <c r="G559" s="745" t="s">
        <v>110</v>
      </c>
      <c r="H559" s="745" t="s">
        <v>84</v>
      </c>
      <c r="I559" s="746" t="s">
        <v>588</v>
      </c>
      <c r="J559" s="150" t="s">
        <v>98</v>
      </c>
      <c r="K559" s="166">
        <v>42.1</v>
      </c>
      <c r="L559" s="166">
        <f>M559-K559</f>
        <v>0</v>
      </c>
      <c r="M559" s="166">
        <v>42.1</v>
      </c>
    </row>
    <row r="560" spans="1:13" s="147" customFormat="1" ht="37.5" customHeight="1">
      <c r="A560" s="151"/>
      <c r="B560" s="164" t="s">
        <v>384</v>
      </c>
      <c r="C560" s="165" t="s">
        <v>377</v>
      </c>
      <c r="D560" s="150" t="s">
        <v>248</v>
      </c>
      <c r="E560" s="150" t="s">
        <v>72</v>
      </c>
      <c r="F560" s="180"/>
      <c r="G560" s="321"/>
      <c r="H560" s="321"/>
      <c r="I560" s="322"/>
      <c r="J560" s="323"/>
      <c r="K560" s="166">
        <f>K561</f>
        <v>9936</v>
      </c>
      <c r="L560" s="166">
        <f>L561</f>
        <v>311.30000000000018</v>
      </c>
      <c r="M560" s="166">
        <f>M561</f>
        <v>10247.299999999999</v>
      </c>
    </row>
    <row r="561" spans="1:13" s="147" customFormat="1" ht="56.25" customHeight="1">
      <c r="A561" s="151"/>
      <c r="B561" s="170" t="s">
        <v>235</v>
      </c>
      <c r="C561" s="165" t="s">
        <v>377</v>
      </c>
      <c r="D561" s="150" t="s">
        <v>248</v>
      </c>
      <c r="E561" s="150" t="s">
        <v>72</v>
      </c>
      <c r="F561" s="180" t="s">
        <v>84</v>
      </c>
      <c r="G561" s="321" t="s">
        <v>62</v>
      </c>
      <c r="H561" s="321" t="s">
        <v>63</v>
      </c>
      <c r="I561" s="322" t="s">
        <v>64</v>
      </c>
      <c r="J561" s="323"/>
      <c r="K561" s="166">
        <f>K566+K562</f>
        <v>9936</v>
      </c>
      <c r="L561" s="166">
        <f>L566+L562</f>
        <v>311.30000000000018</v>
      </c>
      <c r="M561" s="166">
        <f>M566+M562</f>
        <v>10247.299999999999</v>
      </c>
    </row>
    <row r="562" spans="1:13" s="147" customFormat="1" ht="56.25">
      <c r="A562" s="151"/>
      <c r="B562" s="164" t="s">
        <v>391</v>
      </c>
      <c r="C562" s="165" t="s">
        <v>377</v>
      </c>
      <c r="D562" s="150" t="s">
        <v>248</v>
      </c>
      <c r="E562" s="150" t="s">
        <v>72</v>
      </c>
      <c r="F562" s="744" t="s">
        <v>84</v>
      </c>
      <c r="G562" s="745" t="s">
        <v>110</v>
      </c>
      <c r="H562" s="745" t="s">
        <v>63</v>
      </c>
      <c r="I562" s="746" t="s">
        <v>64</v>
      </c>
      <c r="J562" s="150"/>
      <c r="K562" s="166">
        <f t="shared" ref="K562:M564" si="111">K563</f>
        <v>733.9</v>
      </c>
      <c r="L562" s="166">
        <f t="shared" si="111"/>
        <v>199</v>
      </c>
      <c r="M562" s="166">
        <f t="shared" si="111"/>
        <v>932.9</v>
      </c>
    </row>
    <row r="563" spans="1:13" s="147" customFormat="1" ht="87" customHeight="1">
      <c r="A563" s="151"/>
      <c r="B563" s="306" t="s">
        <v>383</v>
      </c>
      <c r="C563" s="165" t="s">
        <v>377</v>
      </c>
      <c r="D563" s="150" t="s">
        <v>248</v>
      </c>
      <c r="E563" s="150" t="s">
        <v>72</v>
      </c>
      <c r="F563" s="744" t="s">
        <v>84</v>
      </c>
      <c r="G563" s="745" t="s">
        <v>110</v>
      </c>
      <c r="H563" s="745" t="s">
        <v>84</v>
      </c>
      <c r="I563" s="746" t="s">
        <v>64</v>
      </c>
      <c r="J563" s="150"/>
      <c r="K563" s="166">
        <f t="shared" si="111"/>
        <v>733.9</v>
      </c>
      <c r="L563" s="166">
        <f t="shared" si="111"/>
        <v>199</v>
      </c>
      <c r="M563" s="166">
        <f t="shared" si="111"/>
        <v>932.9</v>
      </c>
    </row>
    <row r="564" spans="1:13" s="147" customFormat="1" ht="37.5" customHeight="1">
      <c r="A564" s="151"/>
      <c r="B564" s="168" t="s">
        <v>378</v>
      </c>
      <c r="C564" s="165" t="s">
        <v>377</v>
      </c>
      <c r="D564" s="150" t="s">
        <v>248</v>
      </c>
      <c r="E564" s="150" t="s">
        <v>72</v>
      </c>
      <c r="F564" s="744" t="s">
        <v>84</v>
      </c>
      <c r="G564" s="745" t="s">
        <v>110</v>
      </c>
      <c r="H564" s="745" t="s">
        <v>84</v>
      </c>
      <c r="I564" s="746" t="s">
        <v>379</v>
      </c>
      <c r="J564" s="150"/>
      <c r="K564" s="166">
        <f t="shared" si="111"/>
        <v>733.9</v>
      </c>
      <c r="L564" s="166">
        <f t="shared" si="111"/>
        <v>199</v>
      </c>
      <c r="M564" s="166">
        <f t="shared" si="111"/>
        <v>932.9</v>
      </c>
    </row>
    <row r="565" spans="1:13" s="147" customFormat="1" ht="50.25" customHeight="1">
      <c r="A565" s="151"/>
      <c r="B565" s="164" t="s">
        <v>75</v>
      </c>
      <c r="C565" s="165" t="s">
        <v>377</v>
      </c>
      <c r="D565" s="150" t="s">
        <v>248</v>
      </c>
      <c r="E565" s="150" t="s">
        <v>72</v>
      </c>
      <c r="F565" s="744" t="s">
        <v>84</v>
      </c>
      <c r="G565" s="745" t="s">
        <v>110</v>
      </c>
      <c r="H565" s="745" t="s">
        <v>84</v>
      </c>
      <c r="I565" s="746" t="s">
        <v>379</v>
      </c>
      <c r="J565" s="150" t="s">
        <v>76</v>
      </c>
      <c r="K565" s="166">
        <v>733.9</v>
      </c>
      <c r="L565" s="166">
        <f>M565-K565</f>
        <v>199</v>
      </c>
      <c r="M565" s="764">
        <f>733.9+199</f>
        <v>932.9</v>
      </c>
    </row>
    <row r="566" spans="1:13" s="147" customFormat="1" ht="56.25" customHeight="1">
      <c r="A566" s="151"/>
      <c r="B566" s="164" t="s">
        <v>238</v>
      </c>
      <c r="C566" s="165" t="s">
        <v>377</v>
      </c>
      <c r="D566" s="150" t="s">
        <v>248</v>
      </c>
      <c r="E566" s="150" t="s">
        <v>72</v>
      </c>
      <c r="F566" s="744" t="s">
        <v>84</v>
      </c>
      <c r="G566" s="745" t="s">
        <v>50</v>
      </c>
      <c r="H566" s="745" t="s">
        <v>63</v>
      </c>
      <c r="I566" s="746" t="s">
        <v>64</v>
      </c>
      <c r="J566" s="150"/>
      <c r="K566" s="166">
        <f>K567</f>
        <v>9202.1</v>
      </c>
      <c r="L566" s="166">
        <f>L567</f>
        <v>112.30000000000018</v>
      </c>
      <c r="M566" s="166">
        <f>M567</f>
        <v>9314.4</v>
      </c>
    </row>
    <row r="567" spans="1:13" s="147" customFormat="1" ht="37.5" customHeight="1">
      <c r="A567" s="151"/>
      <c r="B567" s="164" t="s">
        <v>322</v>
      </c>
      <c r="C567" s="165" t="s">
        <v>377</v>
      </c>
      <c r="D567" s="150" t="s">
        <v>248</v>
      </c>
      <c r="E567" s="150" t="s">
        <v>72</v>
      </c>
      <c r="F567" s="744" t="s">
        <v>84</v>
      </c>
      <c r="G567" s="745" t="s">
        <v>50</v>
      </c>
      <c r="H567" s="745" t="s">
        <v>57</v>
      </c>
      <c r="I567" s="746" t="s">
        <v>64</v>
      </c>
      <c r="J567" s="150"/>
      <c r="K567" s="166">
        <f>K568+K572+K576</f>
        <v>9202.1</v>
      </c>
      <c r="L567" s="166">
        <f>L568+L572+L576</f>
        <v>112.30000000000018</v>
      </c>
      <c r="M567" s="166">
        <f>M568+M572+M576</f>
        <v>9314.4</v>
      </c>
    </row>
    <row r="568" spans="1:13" s="147" customFormat="1" ht="37.5" customHeight="1">
      <c r="A568" s="151"/>
      <c r="B568" s="164" t="s">
        <v>67</v>
      </c>
      <c r="C568" s="165" t="s">
        <v>377</v>
      </c>
      <c r="D568" s="150" t="s">
        <v>248</v>
      </c>
      <c r="E568" s="150" t="s">
        <v>72</v>
      </c>
      <c r="F568" s="744" t="s">
        <v>84</v>
      </c>
      <c r="G568" s="745" t="s">
        <v>50</v>
      </c>
      <c r="H568" s="745" t="s">
        <v>57</v>
      </c>
      <c r="I568" s="746" t="s">
        <v>68</v>
      </c>
      <c r="J568" s="323"/>
      <c r="K568" s="166">
        <f>K569+K570+K571</f>
        <v>2760.0000000000005</v>
      </c>
      <c r="L568" s="166">
        <f>L569+L570+L571</f>
        <v>99.300000000000182</v>
      </c>
      <c r="M568" s="166">
        <f>M569+M570+M571</f>
        <v>2859.3000000000006</v>
      </c>
    </row>
    <row r="569" spans="1:13" s="147" customFormat="1" ht="112.5" customHeight="1">
      <c r="A569" s="151"/>
      <c r="B569" s="164" t="s">
        <v>69</v>
      </c>
      <c r="C569" s="165" t="s">
        <v>377</v>
      </c>
      <c r="D569" s="150" t="s">
        <v>248</v>
      </c>
      <c r="E569" s="150" t="s">
        <v>72</v>
      </c>
      <c r="F569" s="744" t="s">
        <v>84</v>
      </c>
      <c r="G569" s="745" t="s">
        <v>50</v>
      </c>
      <c r="H569" s="745" t="s">
        <v>57</v>
      </c>
      <c r="I569" s="746" t="s">
        <v>68</v>
      </c>
      <c r="J569" s="323" t="s">
        <v>70</v>
      </c>
      <c r="K569" s="166">
        <v>2530.3000000000002</v>
      </c>
      <c r="L569" s="166">
        <f t="shared" ref="L569:L571" si="112">M569-K569</f>
        <v>86.300000000000182</v>
      </c>
      <c r="M569" s="764">
        <f>2530.3+86.3</f>
        <v>2616.6000000000004</v>
      </c>
    </row>
    <row r="570" spans="1:13" s="147" customFormat="1" ht="56.25" customHeight="1">
      <c r="A570" s="151"/>
      <c r="B570" s="164" t="s">
        <v>75</v>
      </c>
      <c r="C570" s="165" t="s">
        <v>377</v>
      </c>
      <c r="D570" s="150" t="s">
        <v>248</v>
      </c>
      <c r="E570" s="150" t="s">
        <v>72</v>
      </c>
      <c r="F570" s="744" t="s">
        <v>84</v>
      </c>
      <c r="G570" s="745" t="s">
        <v>50</v>
      </c>
      <c r="H570" s="745" t="s">
        <v>57</v>
      </c>
      <c r="I570" s="746" t="s">
        <v>68</v>
      </c>
      <c r="J570" s="323" t="s">
        <v>76</v>
      </c>
      <c r="K570" s="166">
        <v>225.3</v>
      </c>
      <c r="L570" s="166">
        <f t="shared" si="112"/>
        <v>13</v>
      </c>
      <c r="M570" s="764">
        <f>225.3+13</f>
        <v>238.3</v>
      </c>
    </row>
    <row r="571" spans="1:13" s="147" customFormat="1" ht="18.75" customHeight="1">
      <c r="A571" s="151"/>
      <c r="B571" s="164" t="s">
        <v>77</v>
      </c>
      <c r="C571" s="165" t="s">
        <v>377</v>
      </c>
      <c r="D571" s="150" t="s">
        <v>248</v>
      </c>
      <c r="E571" s="150" t="s">
        <v>72</v>
      </c>
      <c r="F571" s="744" t="s">
        <v>84</v>
      </c>
      <c r="G571" s="745" t="s">
        <v>50</v>
      </c>
      <c r="H571" s="745" t="s">
        <v>57</v>
      </c>
      <c r="I571" s="746" t="s">
        <v>68</v>
      </c>
      <c r="J571" s="150" t="s">
        <v>78</v>
      </c>
      <c r="K571" s="166">
        <v>4.4000000000000004</v>
      </c>
      <c r="L571" s="166">
        <f t="shared" si="112"/>
        <v>0</v>
      </c>
      <c r="M571" s="166">
        <v>4.4000000000000004</v>
      </c>
    </row>
    <row r="572" spans="1:13" s="147" customFormat="1" ht="39" customHeight="1">
      <c r="A572" s="151"/>
      <c r="B572" s="167" t="s">
        <v>800</v>
      </c>
      <c r="C572" s="165" t="s">
        <v>377</v>
      </c>
      <c r="D572" s="150" t="s">
        <v>248</v>
      </c>
      <c r="E572" s="150" t="s">
        <v>72</v>
      </c>
      <c r="F572" s="744" t="s">
        <v>84</v>
      </c>
      <c r="G572" s="745" t="s">
        <v>50</v>
      </c>
      <c r="H572" s="745" t="s">
        <v>57</v>
      </c>
      <c r="I572" s="746" t="s">
        <v>112</v>
      </c>
      <c r="J572" s="150"/>
      <c r="K572" s="166">
        <f>K573+K574+K575</f>
        <v>6350.8</v>
      </c>
      <c r="L572" s="166">
        <f>L573+L574+L575</f>
        <v>13</v>
      </c>
      <c r="M572" s="166">
        <f>M573+M574+M575</f>
        <v>6363.8</v>
      </c>
    </row>
    <row r="573" spans="1:13" s="147" customFormat="1" ht="112.5" customHeight="1">
      <c r="A573" s="151"/>
      <c r="B573" s="164" t="s">
        <v>69</v>
      </c>
      <c r="C573" s="430" t="s">
        <v>377</v>
      </c>
      <c r="D573" s="323" t="s">
        <v>248</v>
      </c>
      <c r="E573" s="323" t="s">
        <v>72</v>
      </c>
      <c r="F573" s="744" t="s">
        <v>84</v>
      </c>
      <c r="G573" s="745" t="s">
        <v>50</v>
      </c>
      <c r="H573" s="745" t="s">
        <v>57</v>
      </c>
      <c r="I573" s="746" t="s">
        <v>112</v>
      </c>
      <c r="J573" s="323" t="s">
        <v>70</v>
      </c>
      <c r="K573" s="166">
        <v>5786.6</v>
      </c>
      <c r="L573" s="166">
        <f t="shared" ref="L573:L575" si="113">M573-K573</f>
        <v>0</v>
      </c>
      <c r="M573" s="166">
        <v>5786.6</v>
      </c>
    </row>
    <row r="574" spans="1:13" s="147" customFormat="1" ht="56.25" customHeight="1">
      <c r="A574" s="151"/>
      <c r="B574" s="164" t="s">
        <v>75</v>
      </c>
      <c r="C574" s="430" t="s">
        <v>377</v>
      </c>
      <c r="D574" s="323" t="s">
        <v>248</v>
      </c>
      <c r="E574" s="323" t="s">
        <v>72</v>
      </c>
      <c r="F574" s="744" t="s">
        <v>84</v>
      </c>
      <c r="G574" s="745" t="s">
        <v>50</v>
      </c>
      <c r="H574" s="745" t="s">
        <v>57</v>
      </c>
      <c r="I574" s="746" t="s">
        <v>112</v>
      </c>
      <c r="J574" s="323" t="s">
        <v>76</v>
      </c>
      <c r="K574" s="166">
        <f>529.6+32.9</f>
        <v>562.5</v>
      </c>
      <c r="L574" s="166">
        <f t="shared" si="113"/>
        <v>13</v>
      </c>
      <c r="M574" s="764">
        <f>529.6+32.9+13</f>
        <v>575.5</v>
      </c>
    </row>
    <row r="575" spans="1:13" s="147" customFormat="1" ht="18.75" customHeight="1">
      <c r="A575" s="151"/>
      <c r="B575" s="164" t="s">
        <v>77</v>
      </c>
      <c r="C575" s="430" t="s">
        <v>377</v>
      </c>
      <c r="D575" s="323" t="s">
        <v>248</v>
      </c>
      <c r="E575" s="323" t="s">
        <v>72</v>
      </c>
      <c r="F575" s="744" t="s">
        <v>84</v>
      </c>
      <c r="G575" s="745" t="s">
        <v>50</v>
      </c>
      <c r="H575" s="745" t="s">
        <v>57</v>
      </c>
      <c r="I575" s="746" t="s">
        <v>112</v>
      </c>
      <c r="J575" s="150" t="s">
        <v>78</v>
      </c>
      <c r="K575" s="166">
        <v>1.7</v>
      </c>
      <c r="L575" s="166">
        <f t="shared" si="113"/>
        <v>0</v>
      </c>
      <c r="M575" s="166">
        <v>1.7</v>
      </c>
    </row>
    <row r="576" spans="1:13" s="413" customFormat="1" ht="18.75" customHeight="1">
      <c r="A576" s="589"/>
      <c r="B576" s="590" t="s">
        <v>801</v>
      </c>
      <c r="C576" s="430" t="s">
        <v>377</v>
      </c>
      <c r="D576" s="323" t="s">
        <v>248</v>
      </c>
      <c r="E576" s="323" t="s">
        <v>72</v>
      </c>
      <c r="F576" s="744" t="s">
        <v>84</v>
      </c>
      <c r="G576" s="745" t="s">
        <v>50</v>
      </c>
      <c r="H576" s="745" t="s">
        <v>57</v>
      </c>
      <c r="I576" s="454" t="s">
        <v>479</v>
      </c>
      <c r="J576" s="586"/>
      <c r="K576" s="534">
        <f>K577</f>
        <v>91.3</v>
      </c>
      <c r="L576" s="534">
        <f>L577</f>
        <v>0</v>
      </c>
      <c r="M576" s="534">
        <f>M577</f>
        <v>91.3</v>
      </c>
    </row>
    <row r="577" spans="1:13" s="413" customFormat="1" ht="55.5" customHeight="1">
      <c r="A577" s="591"/>
      <c r="B577" s="164" t="s">
        <v>75</v>
      </c>
      <c r="C577" s="430" t="s">
        <v>377</v>
      </c>
      <c r="D577" s="323" t="s">
        <v>248</v>
      </c>
      <c r="E577" s="323" t="s">
        <v>72</v>
      </c>
      <c r="F577" s="744" t="s">
        <v>84</v>
      </c>
      <c r="G577" s="745" t="s">
        <v>50</v>
      </c>
      <c r="H577" s="745" t="s">
        <v>57</v>
      </c>
      <c r="I577" s="588" t="s">
        <v>479</v>
      </c>
      <c r="J577" s="587" t="s">
        <v>76</v>
      </c>
      <c r="K577" s="733">
        <v>91.3</v>
      </c>
      <c r="L577" s="166">
        <f>M577-K577</f>
        <v>0</v>
      </c>
      <c r="M577" s="733">
        <v>91.3</v>
      </c>
    </row>
    <row r="578" spans="1:13" s="413" customFormat="1" ht="18.75" customHeight="1">
      <c r="A578" s="591"/>
      <c r="B578" s="584"/>
      <c r="C578" s="430"/>
      <c r="D578" s="323"/>
      <c r="E578" s="323"/>
      <c r="F578" s="744"/>
      <c r="G578" s="745"/>
      <c r="H578" s="745"/>
      <c r="I578" s="585"/>
      <c r="J578" s="587"/>
      <c r="K578" s="733"/>
      <c r="L578" s="734"/>
      <c r="M578" s="733"/>
    </row>
    <row r="579" spans="1:13" s="392" customFormat="1" ht="56.25" customHeight="1">
      <c r="A579" s="391">
        <v>7</v>
      </c>
      <c r="B579" s="158" t="s">
        <v>26</v>
      </c>
      <c r="C579" s="159" t="s">
        <v>331</v>
      </c>
      <c r="D579" s="160"/>
      <c r="E579" s="160"/>
      <c r="F579" s="161"/>
      <c r="G579" s="162"/>
      <c r="H579" s="162"/>
      <c r="I579" s="163"/>
      <c r="J579" s="160"/>
      <c r="K579" s="189">
        <f>K587+K580</f>
        <v>37406.600000000006</v>
      </c>
      <c r="L579" s="189">
        <f>L587+L580</f>
        <v>1743.1999999999998</v>
      </c>
      <c r="M579" s="189">
        <f>M587+M580</f>
        <v>39149.800000000003</v>
      </c>
    </row>
    <row r="580" spans="1:13" s="392" customFormat="1" ht="29.25" customHeight="1">
      <c r="A580" s="391"/>
      <c r="B580" s="596" t="s">
        <v>56</v>
      </c>
      <c r="C580" s="597" t="s">
        <v>331</v>
      </c>
      <c r="D580" s="181" t="s">
        <v>57</v>
      </c>
      <c r="E580" s="181"/>
      <c r="F580" s="580"/>
      <c r="G580" s="581"/>
      <c r="H580" s="581"/>
      <c r="I580" s="582"/>
      <c r="J580" s="181"/>
      <c r="K580" s="583">
        <f t="shared" ref="K580:M584" si="114">K581</f>
        <v>35.299999999999997</v>
      </c>
      <c r="L580" s="583">
        <f t="shared" si="114"/>
        <v>0</v>
      </c>
      <c r="M580" s="583">
        <f t="shared" si="114"/>
        <v>35.299999999999997</v>
      </c>
    </row>
    <row r="581" spans="1:13" s="392" customFormat="1" ht="23.25" customHeight="1">
      <c r="A581" s="391"/>
      <c r="B581" s="596" t="s">
        <v>91</v>
      </c>
      <c r="C581" s="597" t="s">
        <v>331</v>
      </c>
      <c r="D581" s="181" t="s">
        <v>57</v>
      </c>
      <c r="E581" s="181" t="s">
        <v>92</v>
      </c>
      <c r="F581" s="580"/>
      <c r="G581" s="581"/>
      <c r="H581" s="581"/>
      <c r="I581" s="582"/>
      <c r="J581" s="181"/>
      <c r="K581" s="583">
        <f t="shared" si="114"/>
        <v>35.299999999999997</v>
      </c>
      <c r="L581" s="583">
        <f t="shared" si="114"/>
        <v>0</v>
      </c>
      <c r="M581" s="583">
        <f t="shared" si="114"/>
        <v>35.299999999999997</v>
      </c>
    </row>
    <row r="582" spans="1:13" s="392" customFormat="1" ht="56.25" customHeight="1">
      <c r="A582" s="391"/>
      <c r="B582" s="164" t="s">
        <v>239</v>
      </c>
      <c r="C582" s="597" t="s">
        <v>331</v>
      </c>
      <c r="D582" s="181" t="s">
        <v>57</v>
      </c>
      <c r="E582" s="181" t="s">
        <v>92</v>
      </c>
      <c r="F582" s="580" t="s">
        <v>72</v>
      </c>
      <c r="G582" s="581" t="s">
        <v>62</v>
      </c>
      <c r="H582" s="581" t="s">
        <v>63</v>
      </c>
      <c r="I582" s="582" t="s">
        <v>64</v>
      </c>
      <c r="J582" s="181"/>
      <c r="K582" s="583">
        <f t="shared" si="114"/>
        <v>35.299999999999997</v>
      </c>
      <c r="L582" s="583">
        <f t="shared" si="114"/>
        <v>0</v>
      </c>
      <c r="M582" s="583">
        <f t="shared" si="114"/>
        <v>35.299999999999997</v>
      </c>
    </row>
    <row r="583" spans="1:13" s="392" customFormat="1" ht="37.5" customHeight="1">
      <c r="A583" s="391"/>
      <c r="B583" s="164" t="s">
        <v>242</v>
      </c>
      <c r="C583" s="597" t="s">
        <v>331</v>
      </c>
      <c r="D583" s="181" t="s">
        <v>57</v>
      </c>
      <c r="E583" s="181" t="s">
        <v>92</v>
      </c>
      <c r="F583" s="580" t="s">
        <v>72</v>
      </c>
      <c r="G583" s="581" t="s">
        <v>110</v>
      </c>
      <c r="H583" s="581" t="s">
        <v>63</v>
      </c>
      <c r="I583" s="582" t="s">
        <v>64</v>
      </c>
      <c r="J583" s="181"/>
      <c r="K583" s="583">
        <f t="shared" si="114"/>
        <v>35.299999999999997</v>
      </c>
      <c r="L583" s="583">
        <f t="shared" si="114"/>
        <v>0</v>
      </c>
      <c r="M583" s="583">
        <f t="shared" si="114"/>
        <v>35.299999999999997</v>
      </c>
    </row>
    <row r="584" spans="1:13" s="392" customFormat="1" ht="41.25" customHeight="1">
      <c r="A584" s="391"/>
      <c r="B584" s="596" t="s">
        <v>428</v>
      </c>
      <c r="C584" s="597" t="s">
        <v>331</v>
      </c>
      <c r="D584" s="181" t="s">
        <v>57</v>
      </c>
      <c r="E584" s="181" t="s">
        <v>92</v>
      </c>
      <c r="F584" s="580" t="s">
        <v>72</v>
      </c>
      <c r="G584" s="581" t="s">
        <v>110</v>
      </c>
      <c r="H584" s="581" t="s">
        <v>84</v>
      </c>
      <c r="I584" s="582" t="s">
        <v>64</v>
      </c>
      <c r="J584" s="181"/>
      <c r="K584" s="583">
        <f t="shared" si="114"/>
        <v>35.299999999999997</v>
      </c>
      <c r="L584" s="583">
        <f t="shared" si="114"/>
        <v>0</v>
      </c>
      <c r="M584" s="583">
        <f t="shared" si="114"/>
        <v>35.299999999999997</v>
      </c>
    </row>
    <row r="585" spans="1:13" s="392" customFormat="1" ht="56.25" customHeight="1">
      <c r="A585" s="391"/>
      <c r="B585" s="660" t="s">
        <v>429</v>
      </c>
      <c r="C585" s="597" t="s">
        <v>331</v>
      </c>
      <c r="D585" s="181" t="s">
        <v>57</v>
      </c>
      <c r="E585" s="181" t="s">
        <v>92</v>
      </c>
      <c r="F585" s="580" t="s">
        <v>72</v>
      </c>
      <c r="G585" s="581" t="s">
        <v>110</v>
      </c>
      <c r="H585" s="581" t="s">
        <v>84</v>
      </c>
      <c r="I585" s="582" t="s">
        <v>126</v>
      </c>
      <c r="J585" s="181"/>
      <c r="K585" s="583">
        <f>K586</f>
        <v>35.299999999999997</v>
      </c>
      <c r="L585" s="583">
        <f>L586</f>
        <v>0</v>
      </c>
      <c r="M585" s="583">
        <f>M586</f>
        <v>35.299999999999997</v>
      </c>
    </row>
    <row r="586" spans="1:13" s="392" customFormat="1" ht="56.25" customHeight="1">
      <c r="A586" s="391"/>
      <c r="B586" s="164" t="s">
        <v>75</v>
      </c>
      <c r="C586" s="597" t="s">
        <v>331</v>
      </c>
      <c r="D586" s="181" t="s">
        <v>57</v>
      </c>
      <c r="E586" s="181" t="s">
        <v>92</v>
      </c>
      <c r="F586" s="580" t="s">
        <v>72</v>
      </c>
      <c r="G586" s="581" t="s">
        <v>110</v>
      </c>
      <c r="H586" s="581" t="s">
        <v>84</v>
      </c>
      <c r="I586" s="582" t="s">
        <v>126</v>
      </c>
      <c r="J586" s="181" t="s">
        <v>76</v>
      </c>
      <c r="K586" s="583">
        <v>35.299999999999997</v>
      </c>
      <c r="L586" s="166">
        <f>M586-K586</f>
        <v>0</v>
      </c>
      <c r="M586" s="583">
        <v>35.299999999999997</v>
      </c>
    </row>
    <row r="587" spans="1:13" s="147" customFormat="1" ht="18.75" customHeight="1">
      <c r="A587" s="151"/>
      <c r="B587" s="170" t="s">
        <v>385</v>
      </c>
      <c r="C587" s="165" t="s">
        <v>331</v>
      </c>
      <c r="D587" s="150" t="s">
        <v>88</v>
      </c>
      <c r="E587" s="150"/>
      <c r="F587" s="744"/>
      <c r="G587" s="745"/>
      <c r="H587" s="745"/>
      <c r="I587" s="746"/>
      <c r="J587" s="150"/>
      <c r="K587" s="166">
        <f>K588+K612+K619</f>
        <v>37371.300000000003</v>
      </c>
      <c r="L587" s="166">
        <f>L588+L612+L619</f>
        <v>1743.1999999999998</v>
      </c>
      <c r="M587" s="166">
        <f>M588+M612+M619</f>
        <v>39114.5</v>
      </c>
    </row>
    <row r="588" spans="1:13" s="392" customFormat="1" ht="18.75" customHeight="1">
      <c r="A588" s="151"/>
      <c r="B588" s="170" t="s">
        <v>443</v>
      </c>
      <c r="C588" s="165" t="s">
        <v>331</v>
      </c>
      <c r="D588" s="150" t="s">
        <v>88</v>
      </c>
      <c r="E588" s="150" t="s">
        <v>57</v>
      </c>
      <c r="F588" s="744"/>
      <c r="G588" s="745"/>
      <c r="H588" s="745"/>
      <c r="I588" s="746"/>
      <c r="J588" s="150"/>
      <c r="K588" s="166">
        <f>K589</f>
        <v>34348.9</v>
      </c>
      <c r="L588" s="166">
        <f>L589</f>
        <v>1743.1999999999998</v>
      </c>
      <c r="M588" s="166">
        <f>M589</f>
        <v>36092.1</v>
      </c>
    </row>
    <row r="589" spans="1:13" s="392" customFormat="1" ht="57" customHeight="1">
      <c r="A589" s="151"/>
      <c r="B589" s="164" t="s">
        <v>239</v>
      </c>
      <c r="C589" s="165" t="s">
        <v>331</v>
      </c>
      <c r="D589" s="150" t="s">
        <v>88</v>
      </c>
      <c r="E589" s="150" t="s">
        <v>57</v>
      </c>
      <c r="F589" s="744" t="s">
        <v>72</v>
      </c>
      <c r="G589" s="745" t="s">
        <v>62</v>
      </c>
      <c r="H589" s="745" t="s">
        <v>63</v>
      </c>
      <c r="I589" s="746" t="s">
        <v>64</v>
      </c>
      <c r="J589" s="150"/>
      <c r="K589" s="166">
        <f>K590+K594+K608</f>
        <v>34348.9</v>
      </c>
      <c r="L589" s="166">
        <f>L590+L594+L608</f>
        <v>1743.1999999999998</v>
      </c>
      <c r="M589" s="166">
        <f>M590+M594+M608</f>
        <v>36092.1</v>
      </c>
    </row>
    <row r="590" spans="1:13" s="392" customFormat="1" ht="37.5" customHeight="1">
      <c r="A590" s="151"/>
      <c r="B590" s="170" t="s">
        <v>240</v>
      </c>
      <c r="C590" s="165" t="s">
        <v>331</v>
      </c>
      <c r="D590" s="150" t="s">
        <v>88</v>
      </c>
      <c r="E590" s="150" t="s">
        <v>57</v>
      </c>
      <c r="F590" s="744" t="s">
        <v>72</v>
      </c>
      <c r="G590" s="745" t="s">
        <v>65</v>
      </c>
      <c r="H590" s="745" t="s">
        <v>63</v>
      </c>
      <c r="I590" s="746" t="s">
        <v>64</v>
      </c>
      <c r="J590" s="150"/>
      <c r="K590" s="166">
        <f>K591</f>
        <v>144</v>
      </c>
      <c r="L590" s="166">
        <f>L591</f>
        <v>0</v>
      </c>
      <c r="M590" s="166">
        <f>M591</f>
        <v>144</v>
      </c>
    </row>
    <row r="591" spans="1:13" s="392" customFormat="1" ht="18.75" customHeight="1">
      <c r="A591" s="151"/>
      <c r="B591" s="164" t="s">
        <v>317</v>
      </c>
      <c r="C591" s="165" t="s">
        <v>331</v>
      </c>
      <c r="D591" s="150" t="s">
        <v>88</v>
      </c>
      <c r="E591" s="150" t="s">
        <v>57</v>
      </c>
      <c r="F591" s="744" t="s">
        <v>72</v>
      </c>
      <c r="G591" s="745" t="s">
        <v>65</v>
      </c>
      <c r="H591" s="745" t="s">
        <v>57</v>
      </c>
      <c r="I591" s="746" t="s">
        <v>64</v>
      </c>
      <c r="J591" s="150"/>
      <c r="K591" s="166">
        <f t="shared" ref="K591:M592" si="115">K592</f>
        <v>144</v>
      </c>
      <c r="L591" s="166">
        <f t="shared" si="115"/>
        <v>0</v>
      </c>
      <c r="M591" s="166">
        <f t="shared" si="115"/>
        <v>144</v>
      </c>
    </row>
    <row r="592" spans="1:13" s="392" customFormat="1" ht="42.75" customHeight="1">
      <c r="A592" s="151"/>
      <c r="B592" s="164" t="s">
        <v>318</v>
      </c>
      <c r="C592" s="165" t="s">
        <v>331</v>
      </c>
      <c r="D592" s="150" t="s">
        <v>88</v>
      </c>
      <c r="E592" s="150" t="s">
        <v>57</v>
      </c>
      <c r="F592" s="744" t="s">
        <v>72</v>
      </c>
      <c r="G592" s="745" t="s">
        <v>65</v>
      </c>
      <c r="H592" s="745" t="s">
        <v>57</v>
      </c>
      <c r="I592" s="746" t="s">
        <v>319</v>
      </c>
      <c r="J592" s="150"/>
      <c r="K592" s="166">
        <f t="shared" si="115"/>
        <v>144</v>
      </c>
      <c r="L592" s="166">
        <f t="shared" si="115"/>
        <v>0</v>
      </c>
      <c r="M592" s="166">
        <f t="shared" si="115"/>
        <v>144</v>
      </c>
    </row>
    <row r="593" spans="1:13" s="392" customFormat="1" ht="37.5" customHeight="1">
      <c r="A593" s="151"/>
      <c r="B593" s="164" t="s">
        <v>141</v>
      </c>
      <c r="C593" s="165" t="s">
        <v>331</v>
      </c>
      <c r="D593" s="150" t="s">
        <v>88</v>
      </c>
      <c r="E593" s="150" t="s">
        <v>57</v>
      </c>
      <c r="F593" s="744" t="s">
        <v>72</v>
      </c>
      <c r="G593" s="745" t="s">
        <v>65</v>
      </c>
      <c r="H593" s="745" t="s">
        <v>57</v>
      </c>
      <c r="I593" s="746" t="s">
        <v>319</v>
      </c>
      <c r="J593" s="150" t="s">
        <v>142</v>
      </c>
      <c r="K593" s="166">
        <v>144</v>
      </c>
      <c r="L593" s="166">
        <f>M593-K593</f>
        <v>0</v>
      </c>
      <c r="M593" s="166">
        <v>144</v>
      </c>
    </row>
    <row r="594" spans="1:13" s="147" customFormat="1" ht="37.5" customHeight="1">
      <c r="A594" s="151"/>
      <c r="B594" s="164" t="s">
        <v>242</v>
      </c>
      <c r="C594" s="165" t="s">
        <v>331</v>
      </c>
      <c r="D594" s="150" t="s">
        <v>88</v>
      </c>
      <c r="E594" s="150" t="s">
        <v>57</v>
      </c>
      <c r="F594" s="744" t="s">
        <v>72</v>
      </c>
      <c r="G594" s="745" t="s">
        <v>110</v>
      </c>
      <c r="H594" s="745" t="s">
        <v>63</v>
      </c>
      <c r="I594" s="746" t="s">
        <v>64</v>
      </c>
      <c r="J594" s="150"/>
      <c r="K594" s="166">
        <f>K595</f>
        <v>30048</v>
      </c>
      <c r="L594" s="166">
        <f>L595</f>
        <v>0</v>
      </c>
      <c r="M594" s="166">
        <f>M595</f>
        <v>30048</v>
      </c>
    </row>
    <row r="595" spans="1:13" s="392" customFormat="1" ht="23.25" customHeight="1">
      <c r="A595" s="151"/>
      <c r="B595" s="164" t="s">
        <v>444</v>
      </c>
      <c r="C595" s="165" t="s">
        <v>331</v>
      </c>
      <c r="D595" s="150" t="s">
        <v>88</v>
      </c>
      <c r="E595" s="150" t="s">
        <v>57</v>
      </c>
      <c r="F595" s="744" t="s">
        <v>72</v>
      </c>
      <c r="G595" s="745" t="s">
        <v>110</v>
      </c>
      <c r="H595" s="745" t="s">
        <v>59</v>
      </c>
      <c r="I595" s="746" t="s">
        <v>64</v>
      </c>
      <c r="J595" s="150"/>
      <c r="K595" s="166">
        <f>K596+K600+K606+K602+K604</f>
        <v>30048</v>
      </c>
      <c r="L595" s="166">
        <f>L596+L600+L606+L602+L604</f>
        <v>0</v>
      </c>
      <c r="M595" s="166">
        <f>M596+M600+M606+M602+M604</f>
        <v>30048</v>
      </c>
    </row>
    <row r="596" spans="1:13" s="392" customFormat="1" ht="39" customHeight="1">
      <c r="A596" s="151"/>
      <c r="B596" s="167" t="s">
        <v>800</v>
      </c>
      <c r="C596" s="165" t="s">
        <v>331</v>
      </c>
      <c r="D596" s="150" t="s">
        <v>88</v>
      </c>
      <c r="E596" s="150" t="s">
        <v>57</v>
      </c>
      <c r="F596" s="744" t="s">
        <v>72</v>
      </c>
      <c r="G596" s="745" t="s">
        <v>110</v>
      </c>
      <c r="H596" s="745" t="s">
        <v>59</v>
      </c>
      <c r="I596" s="746" t="s">
        <v>112</v>
      </c>
      <c r="J596" s="150"/>
      <c r="K596" s="166">
        <f>K597+K598+K599</f>
        <v>24343.600000000002</v>
      </c>
      <c r="L596" s="166">
        <f>L597+L598+L599</f>
        <v>0</v>
      </c>
      <c r="M596" s="166">
        <f>M597+M598+M599</f>
        <v>24343.600000000002</v>
      </c>
    </row>
    <row r="597" spans="1:13" s="392" customFormat="1" ht="112.5" customHeight="1">
      <c r="A597" s="151"/>
      <c r="B597" s="164" t="s">
        <v>69</v>
      </c>
      <c r="C597" s="165" t="s">
        <v>331</v>
      </c>
      <c r="D597" s="150" t="s">
        <v>88</v>
      </c>
      <c r="E597" s="150" t="s">
        <v>57</v>
      </c>
      <c r="F597" s="744" t="s">
        <v>72</v>
      </c>
      <c r="G597" s="745" t="s">
        <v>110</v>
      </c>
      <c r="H597" s="745" t="s">
        <v>59</v>
      </c>
      <c r="I597" s="746" t="s">
        <v>112</v>
      </c>
      <c r="J597" s="150" t="s">
        <v>70</v>
      </c>
      <c r="K597" s="166">
        <f>17673+972.7+215</f>
        <v>18860.7</v>
      </c>
      <c r="L597" s="166">
        <f t="shared" ref="L597:L599" si="116">M597-K597</f>
        <v>0</v>
      </c>
      <c r="M597" s="166">
        <f>17673+972.7+215</f>
        <v>18860.7</v>
      </c>
    </row>
    <row r="598" spans="1:13" s="147" customFormat="1" ht="56.25" customHeight="1">
      <c r="A598" s="151"/>
      <c r="B598" s="164" t="s">
        <v>75</v>
      </c>
      <c r="C598" s="165" t="s">
        <v>331</v>
      </c>
      <c r="D598" s="150" t="s">
        <v>88</v>
      </c>
      <c r="E598" s="150" t="s">
        <v>57</v>
      </c>
      <c r="F598" s="744" t="s">
        <v>72</v>
      </c>
      <c r="G598" s="745" t="s">
        <v>110</v>
      </c>
      <c r="H598" s="745" t="s">
        <v>59</v>
      </c>
      <c r="I598" s="746" t="s">
        <v>112</v>
      </c>
      <c r="J598" s="150" t="s">
        <v>76</v>
      </c>
      <c r="K598" s="166">
        <f>5643.8-972.7+750</f>
        <v>5421.1</v>
      </c>
      <c r="L598" s="166">
        <f t="shared" si="116"/>
        <v>0</v>
      </c>
      <c r="M598" s="166">
        <f>5643.8-972.7+750</f>
        <v>5421.1</v>
      </c>
    </row>
    <row r="599" spans="1:13" s="392" customFormat="1" ht="18.75" customHeight="1">
      <c r="A599" s="151"/>
      <c r="B599" s="164" t="s">
        <v>77</v>
      </c>
      <c r="C599" s="165" t="s">
        <v>331</v>
      </c>
      <c r="D599" s="150" t="s">
        <v>88</v>
      </c>
      <c r="E599" s="150" t="s">
        <v>57</v>
      </c>
      <c r="F599" s="744" t="s">
        <v>72</v>
      </c>
      <c r="G599" s="745" t="s">
        <v>110</v>
      </c>
      <c r="H599" s="745" t="s">
        <v>59</v>
      </c>
      <c r="I599" s="746" t="s">
        <v>112</v>
      </c>
      <c r="J599" s="150" t="s">
        <v>78</v>
      </c>
      <c r="K599" s="166">
        <v>61.8</v>
      </c>
      <c r="L599" s="166">
        <f t="shared" si="116"/>
        <v>0</v>
      </c>
      <c r="M599" s="166">
        <v>61.8</v>
      </c>
    </row>
    <row r="600" spans="1:13" s="392" customFormat="1" ht="22.5" customHeight="1">
      <c r="A600" s="151"/>
      <c r="B600" s="164" t="s">
        <v>801</v>
      </c>
      <c r="C600" s="165" t="s">
        <v>331</v>
      </c>
      <c r="D600" s="150" t="s">
        <v>88</v>
      </c>
      <c r="E600" s="150" t="s">
        <v>57</v>
      </c>
      <c r="F600" s="744" t="s">
        <v>72</v>
      </c>
      <c r="G600" s="745" t="s">
        <v>110</v>
      </c>
      <c r="H600" s="745" t="s">
        <v>59</v>
      </c>
      <c r="I600" s="746" t="s">
        <v>479</v>
      </c>
      <c r="J600" s="150"/>
      <c r="K600" s="166">
        <f>K601</f>
        <v>2355.8000000000002</v>
      </c>
      <c r="L600" s="166">
        <f>L601</f>
        <v>0</v>
      </c>
      <c r="M600" s="166">
        <f>M601</f>
        <v>2355.8000000000002</v>
      </c>
    </row>
    <row r="601" spans="1:13" s="392" customFormat="1" ht="56.25" customHeight="1">
      <c r="A601" s="151"/>
      <c r="B601" s="164" t="s">
        <v>75</v>
      </c>
      <c r="C601" s="165" t="s">
        <v>331</v>
      </c>
      <c r="D601" s="150" t="s">
        <v>88</v>
      </c>
      <c r="E601" s="150" t="s">
        <v>57</v>
      </c>
      <c r="F601" s="744" t="s">
        <v>72</v>
      </c>
      <c r="G601" s="745" t="s">
        <v>110</v>
      </c>
      <c r="H601" s="745" t="s">
        <v>59</v>
      </c>
      <c r="I601" s="746" t="s">
        <v>479</v>
      </c>
      <c r="J601" s="150" t="s">
        <v>76</v>
      </c>
      <c r="K601" s="166">
        <v>2355.8000000000002</v>
      </c>
      <c r="L601" s="166">
        <f>M601-K601</f>
        <v>0</v>
      </c>
      <c r="M601" s="166">
        <v>2355.8000000000002</v>
      </c>
    </row>
    <row r="602" spans="1:13" s="392" customFormat="1" ht="56.25" customHeight="1">
      <c r="A602" s="151"/>
      <c r="B602" s="164" t="s">
        <v>241</v>
      </c>
      <c r="C602" s="165" t="s">
        <v>331</v>
      </c>
      <c r="D602" s="150" t="s">
        <v>88</v>
      </c>
      <c r="E602" s="150" t="s">
        <v>57</v>
      </c>
      <c r="F602" s="744" t="s">
        <v>72</v>
      </c>
      <c r="G602" s="745" t="s">
        <v>110</v>
      </c>
      <c r="H602" s="745" t="s">
        <v>59</v>
      </c>
      <c r="I602" s="746" t="s">
        <v>333</v>
      </c>
      <c r="J602" s="150"/>
      <c r="K602" s="166">
        <f t="shared" ref="K602:M602" si="117">K603</f>
        <v>2325.8000000000002</v>
      </c>
      <c r="L602" s="166">
        <f t="shared" si="117"/>
        <v>0</v>
      </c>
      <c r="M602" s="166">
        <f t="shared" si="117"/>
        <v>2325.8000000000002</v>
      </c>
    </row>
    <row r="603" spans="1:13" s="392" customFormat="1" ht="56.25" customHeight="1">
      <c r="A603" s="151"/>
      <c r="B603" s="164" t="s">
        <v>75</v>
      </c>
      <c r="C603" s="165" t="s">
        <v>331</v>
      </c>
      <c r="D603" s="150" t="s">
        <v>88</v>
      </c>
      <c r="E603" s="150" t="s">
        <v>57</v>
      </c>
      <c r="F603" s="744" t="s">
        <v>72</v>
      </c>
      <c r="G603" s="745" t="s">
        <v>110</v>
      </c>
      <c r="H603" s="745" t="s">
        <v>59</v>
      </c>
      <c r="I603" s="746" t="s">
        <v>333</v>
      </c>
      <c r="J603" s="150" t="s">
        <v>76</v>
      </c>
      <c r="K603" s="166">
        <v>2325.8000000000002</v>
      </c>
      <c r="L603" s="166">
        <f>M603-K603</f>
        <v>0</v>
      </c>
      <c r="M603" s="166">
        <v>2325.8000000000002</v>
      </c>
    </row>
    <row r="604" spans="1:13" s="392" customFormat="1" ht="193.5" customHeight="1">
      <c r="A604" s="151"/>
      <c r="B604" s="164" t="s">
        <v>696</v>
      </c>
      <c r="C604" s="165" t="s">
        <v>331</v>
      </c>
      <c r="D604" s="150" t="s">
        <v>88</v>
      </c>
      <c r="E604" s="150" t="s">
        <v>57</v>
      </c>
      <c r="F604" s="744" t="s">
        <v>72</v>
      </c>
      <c r="G604" s="745" t="s">
        <v>110</v>
      </c>
      <c r="H604" s="745" t="s">
        <v>59</v>
      </c>
      <c r="I604" s="746" t="s">
        <v>538</v>
      </c>
      <c r="J604" s="150"/>
      <c r="K604" s="166">
        <f>K605</f>
        <v>125</v>
      </c>
      <c r="L604" s="166">
        <f>L605</f>
        <v>0</v>
      </c>
      <c r="M604" s="166">
        <f>M605</f>
        <v>125</v>
      </c>
    </row>
    <row r="605" spans="1:13" s="392" customFormat="1" ht="109.5" customHeight="1">
      <c r="A605" s="151"/>
      <c r="B605" s="164" t="s">
        <v>69</v>
      </c>
      <c r="C605" s="165" t="s">
        <v>331</v>
      </c>
      <c r="D605" s="150" t="s">
        <v>88</v>
      </c>
      <c r="E605" s="150" t="s">
        <v>57</v>
      </c>
      <c r="F605" s="744" t="s">
        <v>72</v>
      </c>
      <c r="G605" s="745" t="s">
        <v>110</v>
      </c>
      <c r="H605" s="745" t="s">
        <v>59</v>
      </c>
      <c r="I605" s="746" t="s">
        <v>538</v>
      </c>
      <c r="J605" s="150" t="s">
        <v>70</v>
      </c>
      <c r="K605" s="166">
        <v>125</v>
      </c>
      <c r="L605" s="166">
        <f>M605-K605</f>
        <v>0</v>
      </c>
      <c r="M605" s="166">
        <v>125</v>
      </c>
    </row>
    <row r="606" spans="1:13" s="392" customFormat="1" ht="58.5" customHeight="1">
      <c r="A606" s="151"/>
      <c r="B606" s="164" t="s">
        <v>731</v>
      </c>
      <c r="C606" s="165" t="s">
        <v>331</v>
      </c>
      <c r="D606" s="150" t="s">
        <v>88</v>
      </c>
      <c r="E606" s="150" t="s">
        <v>57</v>
      </c>
      <c r="F606" s="744" t="s">
        <v>72</v>
      </c>
      <c r="G606" s="745" t="s">
        <v>110</v>
      </c>
      <c r="H606" s="745" t="s">
        <v>59</v>
      </c>
      <c r="I606" s="746" t="s">
        <v>584</v>
      </c>
      <c r="J606" s="150"/>
      <c r="K606" s="166">
        <f>K607</f>
        <v>897.8</v>
      </c>
      <c r="L606" s="166">
        <f>L607</f>
        <v>0</v>
      </c>
      <c r="M606" s="166">
        <f>M607</f>
        <v>897.8</v>
      </c>
    </row>
    <row r="607" spans="1:13" s="392" customFormat="1" ht="112.5" customHeight="1">
      <c r="A607" s="151"/>
      <c r="B607" s="164" t="s">
        <v>69</v>
      </c>
      <c r="C607" s="165" t="s">
        <v>331</v>
      </c>
      <c r="D607" s="150" t="s">
        <v>88</v>
      </c>
      <c r="E607" s="150" t="s">
        <v>57</v>
      </c>
      <c r="F607" s="744" t="s">
        <v>72</v>
      </c>
      <c r="G607" s="745" t="s">
        <v>110</v>
      </c>
      <c r="H607" s="745" t="s">
        <v>59</v>
      </c>
      <c r="I607" s="746" t="s">
        <v>584</v>
      </c>
      <c r="J607" s="150" t="s">
        <v>70</v>
      </c>
      <c r="K607" s="166">
        <v>897.8</v>
      </c>
      <c r="L607" s="166">
        <f>M607-K607</f>
        <v>0</v>
      </c>
      <c r="M607" s="166">
        <v>897.8</v>
      </c>
    </row>
    <row r="608" spans="1:13" s="147" customFormat="1" ht="37.5" customHeight="1">
      <c r="A608" s="151"/>
      <c r="B608" s="164" t="s">
        <v>404</v>
      </c>
      <c r="C608" s="165" t="s">
        <v>331</v>
      </c>
      <c r="D608" s="150" t="s">
        <v>88</v>
      </c>
      <c r="E608" s="150" t="s">
        <v>57</v>
      </c>
      <c r="F608" s="744" t="s">
        <v>72</v>
      </c>
      <c r="G608" s="745" t="s">
        <v>51</v>
      </c>
      <c r="H608" s="745" t="s">
        <v>63</v>
      </c>
      <c r="I608" s="746" t="s">
        <v>64</v>
      </c>
      <c r="J608" s="150"/>
      <c r="K608" s="166">
        <f t="shared" ref="K608:M610" si="118">K609</f>
        <v>4156.8999999999996</v>
      </c>
      <c r="L608" s="166">
        <f t="shared" si="118"/>
        <v>1743.1999999999998</v>
      </c>
      <c r="M608" s="166">
        <f t="shared" si="118"/>
        <v>5900.0999999999995</v>
      </c>
    </row>
    <row r="609" spans="1:14" s="392" customFormat="1" ht="75" customHeight="1">
      <c r="A609" s="151"/>
      <c r="B609" s="164" t="s">
        <v>585</v>
      </c>
      <c r="C609" s="165" t="s">
        <v>331</v>
      </c>
      <c r="D609" s="150" t="s">
        <v>88</v>
      </c>
      <c r="E609" s="150" t="s">
        <v>57</v>
      </c>
      <c r="F609" s="744" t="s">
        <v>72</v>
      </c>
      <c r="G609" s="745" t="s">
        <v>51</v>
      </c>
      <c r="H609" s="745" t="s">
        <v>84</v>
      </c>
      <c r="I609" s="746" t="s">
        <v>64</v>
      </c>
      <c r="J609" s="150"/>
      <c r="K609" s="166">
        <f t="shared" si="118"/>
        <v>4156.8999999999996</v>
      </c>
      <c r="L609" s="166">
        <f t="shared" si="118"/>
        <v>1743.1999999999998</v>
      </c>
      <c r="M609" s="166">
        <f t="shared" si="118"/>
        <v>5900.0999999999995</v>
      </c>
    </row>
    <row r="610" spans="1:14" s="392" customFormat="1" ht="56.25" customHeight="1">
      <c r="A610" s="151"/>
      <c r="B610" s="164" t="s">
        <v>241</v>
      </c>
      <c r="C610" s="165" t="s">
        <v>331</v>
      </c>
      <c r="D610" s="150" t="s">
        <v>88</v>
      </c>
      <c r="E610" s="150" t="s">
        <v>57</v>
      </c>
      <c r="F610" s="744" t="s">
        <v>72</v>
      </c>
      <c r="G610" s="745" t="s">
        <v>51</v>
      </c>
      <c r="H610" s="745" t="s">
        <v>84</v>
      </c>
      <c r="I610" s="746" t="s">
        <v>333</v>
      </c>
      <c r="J610" s="150"/>
      <c r="K610" s="166">
        <f t="shared" si="118"/>
        <v>4156.8999999999996</v>
      </c>
      <c r="L610" s="166">
        <f t="shared" si="118"/>
        <v>1743.1999999999998</v>
      </c>
      <c r="M610" s="166">
        <f t="shared" si="118"/>
        <v>5900.0999999999995</v>
      </c>
    </row>
    <row r="611" spans="1:14" s="392" customFormat="1" ht="56.25" customHeight="1">
      <c r="A611" s="151"/>
      <c r="B611" s="164" t="s">
        <v>225</v>
      </c>
      <c r="C611" s="165" t="s">
        <v>331</v>
      </c>
      <c r="D611" s="150" t="s">
        <v>88</v>
      </c>
      <c r="E611" s="150" t="s">
        <v>57</v>
      </c>
      <c r="F611" s="744" t="s">
        <v>72</v>
      </c>
      <c r="G611" s="745" t="s">
        <v>51</v>
      </c>
      <c r="H611" s="745" t="s">
        <v>84</v>
      </c>
      <c r="I611" s="746" t="s">
        <v>333</v>
      </c>
      <c r="J611" s="150" t="s">
        <v>226</v>
      </c>
      <c r="K611" s="166">
        <f>1500+1556.9+1100</f>
        <v>4156.8999999999996</v>
      </c>
      <c r="L611" s="166">
        <f>M611-K611</f>
        <v>1743.1999999999998</v>
      </c>
      <c r="M611" s="764">
        <f>1500+1556.9+1100+1743.2</f>
        <v>5900.0999999999995</v>
      </c>
    </row>
    <row r="612" spans="1:14" s="147" customFormat="1" ht="18.75" customHeight="1">
      <c r="A612" s="151"/>
      <c r="B612" s="170" t="s">
        <v>334</v>
      </c>
      <c r="C612" s="165" t="s">
        <v>331</v>
      </c>
      <c r="D612" s="150" t="s">
        <v>88</v>
      </c>
      <c r="E612" s="150" t="s">
        <v>59</v>
      </c>
      <c r="F612" s="744"/>
      <c r="G612" s="745"/>
      <c r="H612" s="745"/>
      <c r="I612" s="746"/>
      <c r="J612" s="150"/>
      <c r="K612" s="166">
        <f t="shared" ref="K612:M612" si="119">K613</f>
        <v>597.09999999999991</v>
      </c>
      <c r="L612" s="166">
        <f t="shared" si="119"/>
        <v>0</v>
      </c>
      <c r="M612" s="166">
        <f t="shared" si="119"/>
        <v>597.09999999999991</v>
      </c>
      <c r="N612" s="444"/>
    </row>
    <row r="613" spans="1:14" s="147" customFormat="1" ht="56.25" customHeight="1">
      <c r="A613" s="151"/>
      <c r="B613" s="164" t="s">
        <v>239</v>
      </c>
      <c r="C613" s="165" t="s">
        <v>331</v>
      </c>
      <c r="D613" s="150" t="s">
        <v>88</v>
      </c>
      <c r="E613" s="150" t="s">
        <v>59</v>
      </c>
      <c r="F613" s="744" t="s">
        <v>72</v>
      </c>
      <c r="G613" s="745" t="s">
        <v>62</v>
      </c>
      <c r="H613" s="745" t="s">
        <v>63</v>
      </c>
      <c r="I613" s="746" t="s">
        <v>64</v>
      </c>
      <c r="J613" s="150"/>
      <c r="K613" s="166">
        <f>K614</f>
        <v>597.09999999999991</v>
      </c>
      <c r="L613" s="166">
        <f>L614</f>
        <v>0</v>
      </c>
      <c r="M613" s="166">
        <f>M614</f>
        <v>597.09999999999991</v>
      </c>
    </row>
    <row r="614" spans="1:14" s="147" customFormat="1" ht="37.5" customHeight="1">
      <c r="A614" s="151"/>
      <c r="B614" s="170" t="s">
        <v>240</v>
      </c>
      <c r="C614" s="165" t="s">
        <v>331</v>
      </c>
      <c r="D614" s="150" t="s">
        <v>88</v>
      </c>
      <c r="E614" s="150" t="s">
        <v>59</v>
      </c>
      <c r="F614" s="744" t="s">
        <v>72</v>
      </c>
      <c r="G614" s="745" t="s">
        <v>65</v>
      </c>
      <c r="H614" s="745" t="s">
        <v>63</v>
      </c>
      <c r="I614" s="746" t="s">
        <v>64</v>
      </c>
      <c r="J614" s="150"/>
      <c r="K614" s="166">
        <f t="shared" ref="K614:M615" si="120">K615</f>
        <v>597.09999999999991</v>
      </c>
      <c r="L614" s="166">
        <f t="shared" si="120"/>
        <v>0</v>
      </c>
      <c r="M614" s="166">
        <f t="shared" si="120"/>
        <v>597.09999999999991</v>
      </c>
      <c r="N614" s="444"/>
    </row>
    <row r="615" spans="1:14" s="147" customFormat="1" ht="56.25" customHeight="1">
      <c r="A615" s="151"/>
      <c r="B615" s="164" t="s">
        <v>332</v>
      </c>
      <c r="C615" s="165" t="s">
        <v>331</v>
      </c>
      <c r="D615" s="150" t="s">
        <v>88</v>
      </c>
      <c r="E615" s="150" t="s">
        <v>59</v>
      </c>
      <c r="F615" s="744" t="s">
        <v>72</v>
      </c>
      <c r="G615" s="745" t="s">
        <v>65</v>
      </c>
      <c r="H615" s="745" t="s">
        <v>59</v>
      </c>
      <c r="I615" s="746" t="s">
        <v>64</v>
      </c>
      <c r="J615" s="150"/>
      <c r="K615" s="166">
        <f t="shared" si="120"/>
        <v>597.09999999999991</v>
      </c>
      <c r="L615" s="166">
        <f t="shared" si="120"/>
        <v>0</v>
      </c>
      <c r="M615" s="166">
        <f t="shared" si="120"/>
        <v>597.09999999999991</v>
      </c>
      <c r="N615" s="444"/>
    </row>
    <row r="616" spans="1:14" s="147" customFormat="1" ht="56.25" customHeight="1">
      <c r="A616" s="151"/>
      <c r="B616" s="164" t="s">
        <v>241</v>
      </c>
      <c r="C616" s="165" t="s">
        <v>331</v>
      </c>
      <c r="D616" s="150" t="s">
        <v>88</v>
      </c>
      <c r="E616" s="150" t="s">
        <v>59</v>
      </c>
      <c r="F616" s="744" t="s">
        <v>72</v>
      </c>
      <c r="G616" s="745" t="s">
        <v>65</v>
      </c>
      <c r="H616" s="745" t="s">
        <v>59</v>
      </c>
      <c r="I616" s="746" t="s">
        <v>333</v>
      </c>
      <c r="J616" s="150"/>
      <c r="K616" s="166">
        <f t="shared" ref="K616" si="121">SUM(K617:K618)</f>
        <v>597.09999999999991</v>
      </c>
      <c r="L616" s="166">
        <f t="shared" ref="L616" si="122">SUM(L617:L618)</f>
        <v>0</v>
      </c>
      <c r="M616" s="166">
        <f t="shared" ref="M616" si="123">SUM(M617:M618)</f>
        <v>597.09999999999991</v>
      </c>
    </row>
    <row r="617" spans="1:14" s="147" customFormat="1" ht="112.5" customHeight="1">
      <c r="A617" s="151"/>
      <c r="B617" s="164" t="s">
        <v>69</v>
      </c>
      <c r="C617" s="165" t="s">
        <v>331</v>
      </c>
      <c r="D617" s="150" t="s">
        <v>88</v>
      </c>
      <c r="E617" s="150" t="s">
        <v>59</v>
      </c>
      <c r="F617" s="744" t="s">
        <v>72</v>
      </c>
      <c r="G617" s="745" t="s">
        <v>65</v>
      </c>
      <c r="H617" s="745" t="s">
        <v>59</v>
      </c>
      <c r="I617" s="746" t="s">
        <v>333</v>
      </c>
      <c r="J617" s="150" t="s">
        <v>70</v>
      </c>
      <c r="K617" s="166">
        <v>549.79999999999995</v>
      </c>
      <c r="L617" s="166">
        <f t="shared" ref="L617:L618" si="124">M617-K617</f>
        <v>0</v>
      </c>
      <c r="M617" s="166">
        <v>549.79999999999995</v>
      </c>
    </row>
    <row r="618" spans="1:14" s="147" customFormat="1" ht="56.25" customHeight="1">
      <c r="A618" s="151"/>
      <c r="B618" s="164" t="s">
        <v>75</v>
      </c>
      <c r="C618" s="165" t="s">
        <v>331</v>
      </c>
      <c r="D618" s="150" t="s">
        <v>88</v>
      </c>
      <c r="E618" s="150" t="s">
        <v>59</v>
      </c>
      <c r="F618" s="744" t="s">
        <v>72</v>
      </c>
      <c r="G618" s="745" t="s">
        <v>65</v>
      </c>
      <c r="H618" s="745" t="s">
        <v>59</v>
      </c>
      <c r="I618" s="746" t="s">
        <v>333</v>
      </c>
      <c r="J618" s="150" t="s">
        <v>76</v>
      </c>
      <c r="K618" s="166">
        <v>47.3</v>
      </c>
      <c r="L618" s="166">
        <f t="shared" si="124"/>
        <v>0</v>
      </c>
      <c r="M618" s="166">
        <v>47.3</v>
      </c>
      <c r="N618" s="444"/>
    </row>
    <row r="619" spans="1:14" s="147" customFormat="1" ht="37.5" customHeight="1">
      <c r="A619" s="151"/>
      <c r="B619" s="170" t="s">
        <v>221</v>
      </c>
      <c r="C619" s="165" t="s">
        <v>331</v>
      </c>
      <c r="D619" s="150" t="s">
        <v>88</v>
      </c>
      <c r="E619" s="150" t="s">
        <v>86</v>
      </c>
      <c r="F619" s="744"/>
      <c r="G619" s="745"/>
      <c r="H619" s="745"/>
      <c r="I619" s="746"/>
      <c r="J619" s="150"/>
      <c r="K619" s="166">
        <f t="shared" ref="K619:M622" si="125">K620</f>
        <v>2425.3000000000002</v>
      </c>
      <c r="L619" s="166">
        <f t="shared" si="125"/>
        <v>0</v>
      </c>
      <c r="M619" s="166">
        <f t="shared" si="125"/>
        <v>2425.3000000000002</v>
      </c>
      <c r="N619" s="444"/>
    </row>
    <row r="620" spans="1:14" s="147" customFormat="1" ht="61.5" customHeight="1">
      <c r="A620" s="151"/>
      <c r="B620" s="164" t="s">
        <v>239</v>
      </c>
      <c r="C620" s="165" t="s">
        <v>331</v>
      </c>
      <c r="D620" s="150" t="s">
        <v>88</v>
      </c>
      <c r="E620" s="150" t="s">
        <v>86</v>
      </c>
      <c r="F620" s="744" t="s">
        <v>72</v>
      </c>
      <c r="G620" s="745" t="s">
        <v>62</v>
      </c>
      <c r="H620" s="745" t="s">
        <v>63</v>
      </c>
      <c r="I620" s="746" t="s">
        <v>64</v>
      </c>
      <c r="J620" s="150"/>
      <c r="K620" s="166">
        <f t="shared" si="125"/>
        <v>2425.3000000000002</v>
      </c>
      <c r="L620" s="166">
        <f t="shared" si="125"/>
        <v>0</v>
      </c>
      <c r="M620" s="166">
        <f t="shared" si="125"/>
        <v>2425.3000000000002</v>
      </c>
      <c r="N620" s="444"/>
    </row>
    <row r="621" spans="1:14" s="147" customFormat="1" ht="37.5" customHeight="1">
      <c r="A621" s="151"/>
      <c r="B621" s="168" t="s">
        <v>242</v>
      </c>
      <c r="C621" s="165" t="s">
        <v>331</v>
      </c>
      <c r="D621" s="150" t="s">
        <v>88</v>
      </c>
      <c r="E621" s="150" t="s">
        <v>86</v>
      </c>
      <c r="F621" s="744" t="s">
        <v>72</v>
      </c>
      <c r="G621" s="745" t="s">
        <v>110</v>
      </c>
      <c r="H621" s="745" t="s">
        <v>63</v>
      </c>
      <c r="I621" s="746" t="s">
        <v>64</v>
      </c>
      <c r="J621" s="150"/>
      <c r="K621" s="166">
        <f t="shared" si="125"/>
        <v>2425.3000000000002</v>
      </c>
      <c r="L621" s="166">
        <f t="shared" si="125"/>
        <v>0</v>
      </c>
      <c r="M621" s="166">
        <f t="shared" si="125"/>
        <v>2425.3000000000002</v>
      </c>
      <c r="N621" s="444"/>
    </row>
    <row r="622" spans="1:14" s="147" customFormat="1" ht="37.5" customHeight="1">
      <c r="A622" s="151"/>
      <c r="B622" s="164" t="s">
        <v>322</v>
      </c>
      <c r="C622" s="165" t="s">
        <v>331</v>
      </c>
      <c r="D622" s="150" t="s">
        <v>88</v>
      </c>
      <c r="E622" s="150" t="s">
        <v>86</v>
      </c>
      <c r="F622" s="744" t="s">
        <v>72</v>
      </c>
      <c r="G622" s="745" t="s">
        <v>110</v>
      </c>
      <c r="H622" s="745" t="s">
        <v>57</v>
      </c>
      <c r="I622" s="746" t="s">
        <v>64</v>
      </c>
      <c r="J622" s="150"/>
      <c r="K622" s="166">
        <f t="shared" si="125"/>
        <v>2425.3000000000002</v>
      </c>
      <c r="L622" s="166">
        <f t="shared" si="125"/>
        <v>0</v>
      </c>
      <c r="M622" s="166">
        <f t="shared" si="125"/>
        <v>2425.3000000000002</v>
      </c>
      <c r="N622" s="444"/>
    </row>
    <row r="623" spans="1:14" s="147" customFormat="1" ht="37.5" customHeight="1">
      <c r="A623" s="151"/>
      <c r="B623" s="164" t="s">
        <v>67</v>
      </c>
      <c r="C623" s="165" t="s">
        <v>331</v>
      </c>
      <c r="D623" s="150" t="s">
        <v>88</v>
      </c>
      <c r="E623" s="150" t="s">
        <v>86</v>
      </c>
      <c r="F623" s="744" t="s">
        <v>72</v>
      </c>
      <c r="G623" s="745" t="s">
        <v>110</v>
      </c>
      <c r="H623" s="745" t="s">
        <v>57</v>
      </c>
      <c r="I623" s="746" t="s">
        <v>68</v>
      </c>
      <c r="J623" s="150"/>
      <c r="K623" s="166">
        <f>K624+K625+K626</f>
        <v>2425.3000000000002</v>
      </c>
      <c r="L623" s="166">
        <f>L624+L625+L626</f>
        <v>0</v>
      </c>
      <c r="M623" s="166">
        <f>M624+M625+M626</f>
        <v>2425.3000000000002</v>
      </c>
      <c r="N623" s="444"/>
    </row>
    <row r="624" spans="1:14" s="147" customFormat="1" ht="112.5" customHeight="1">
      <c r="A624" s="151"/>
      <c r="B624" s="164" t="s">
        <v>69</v>
      </c>
      <c r="C624" s="165" t="s">
        <v>331</v>
      </c>
      <c r="D624" s="150" t="s">
        <v>88</v>
      </c>
      <c r="E624" s="150" t="s">
        <v>86</v>
      </c>
      <c r="F624" s="744" t="s">
        <v>72</v>
      </c>
      <c r="G624" s="745" t="s">
        <v>110</v>
      </c>
      <c r="H624" s="745" t="s">
        <v>57</v>
      </c>
      <c r="I624" s="746" t="s">
        <v>68</v>
      </c>
      <c r="J624" s="150" t="s">
        <v>70</v>
      </c>
      <c r="K624" s="166">
        <v>2371.8000000000002</v>
      </c>
      <c r="L624" s="166">
        <f t="shared" ref="L624:L626" si="126">M624-K624</f>
        <v>0</v>
      </c>
      <c r="M624" s="166">
        <v>2371.8000000000002</v>
      </c>
      <c r="N624" s="444"/>
    </row>
    <row r="625" spans="1:14" s="147" customFormat="1" ht="56.25" customHeight="1">
      <c r="A625" s="151"/>
      <c r="B625" s="164" t="s">
        <v>75</v>
      </c>
      <c r="C625" s="165" t="s">
        <v>331</v>
      </c>
      <c r="D625" s="150" t="s">
        <v>88</v>
      </c>
      <c r="E625" s="150" t="s">
        <v>86</v>
      </c>
      <c r="F625" s="744" t="s">
        <v>72</v>
      </c>
      <c r="G625" s="745" t="s">
        <v>110</v>
      </c>
      <c r="H625" s="745" t="s">
        <v>57</v>
      </c>
      <c r="I625" s="746" t="s">
        <v>68</v>
      </c>
      <c r="J625" s="150" t="s">
        <v>76</v>
      </c>
      <c r="K625" s="166">
        <v>51.4</v>
      </c>
      <c r="L625" s="166">
        <f t="shared" si="126"/>
        <v>0</v>
      </c>
      <c r="M625" s="166">
        <v>51.4</v>
      </c>
      <c r="N625" s="444"/>
    </row>
    <row r="626" spans="1:14" s="147" customFormat="1" ht="18.75" customHeight="1">
      <c r="A626" s="151"/>
      <c r="B626" s="164" t="s">
        <v>77</v>
      </c>
      <c r="C626" s="165" t="s">
        <v>331</v>
      </c>
      <c r="D626" s="150" t="s">
        <v>88</v>
      </c>
      <c r="E626" s="150" t="s">
        <v>86</v>
      </c>
      <c r="F626" s="744" t="s">
        <v>72</v>
      </c>
      <c r="G626" s="745" t="s">
        <v>110</v>
      </c>
      <c r="H626" s="745" t="s">
        <v>57</v>
      </c>
      <c r="I626" s="746" t="s">
        <v>68</v>
      </c>
      <c r="J626" s="150" t="s">
        <v>78</v>
      </c>
      <c r="K626" s="166">
        <v>2.1</v>
      </c>
      <c r="L626" s="166">
        <f t="shared" si="126"/>
        <v>0</v>
      </c>
      <c r="M626" s="166">
        <v>2.1</v>
      </c>
      <c r="N626" s="444"/>
    </row>
    <row r="627" spans="1:14" s="147" customFormat="1" ht="18.75" customHeight="1">
      <c r="A627" s="151"/>
      <c r="B627" s="164"/>
      <c r="C627" s="165"/>
      <c r="D627" s="150"/>
      <c r="E627" s="150"/>
      <c r="F627" s="744"/>
      <c r="G627" s="745"/>
      <c r="H627" s="745"/>
      <c r="I627" s="746"/>
      <c r="J627" s="150"/>
      <c r="K627" s="166"/>
      <c r="L627" s="729"/>
      <c r="M627" s="166"/>
      <c r="N627" s="444"/>
    </row>
    <row r="628" spans="1:14" s="392" customFormat="1" ht="56.25" customHeight="1">
      <c r="A628" s="391">
        <v>8</v>
      </c>
      <c r="B628" s="158" t="s">
        <v>27</v>
      </c>
      <c r="C628" s="159" t="s">
        <v>327</v>
      </c>
      <c r="D628" s="160"/>
      <c r="E628" s="160"/>
      <c r="F628" s="161"/>
      <c r="G628" s="162"/>
      <c r="H628" s="162"/>
      <c r="I628" s="163"/>
      <c r="J628" s="160"/>
      <c r="K628" s="189">
        <f>K642+K629</f>
        <v>6369.7</v>
      </c>
      <c r="L628" s="189">
        <f>L642+L629</f>
        <v>668.69999999999936</v>
      </c>
      <c r="M628" s="189">
        <f>M642+M629</f>
        <v>7038.3999999999987</v>
      </c>
    </row>
    <row r="629" spans="1:14" s="392" customFormat="1" ht="18.75" customHeight="1">
      <c r="A629" s="391"/>
      <c r="B629" s="164" t="s">
        <v>56</v>
      </c>
      <c r="C629" s="165" t="s">
        <v>327</v>
      </c>
      <c r="D629" s="150" t="s">
        <v>57</v>
      </c>
      <c r="E629" s="150"/>
      <c r="F629" s="744"/>
      <c r="G629" s="745"/>
      <c r="H629" s="745"/>
      <c r="I629" s="746"/>
      <c r="J629" s="150"/>
      <c r="K629" s="583">
        <f t="shared" ref="K629:M631" si="127">K630</f>
        <v>120.2</v>
      </c>
      <c r="L629" s="583">
        <f t="shared" si="127"/>
        <v>0</v>
      </c>
      <c r="M629" s="583">
        <f t="shared" si="127"/>
        <v>120.2</v>
      </c>
    </row>
    <row r="630" spans="1:14" s="392" customFormat="1" ht="21.75" customHeight="1">
      <c r="A630" s="391"/>
      <c r="B630" s="164" t="s">
        <v>91</v>
      </c>
      <c r="C630" s="165" t="s">
        <v>327</v>
      </c>
      <c r="D630" s="150" t="s">
        <v>57</v>
      </c>
      <c r="E630" s="150" t="s">
        <v>92</v>
      </c>
      <c r="F630" s="744"/>
      <c r="G630" s="745"/>
      <c r="H630" s="745"/>
      <c r="I630" s="746"/>
      <c r="J630" s="150"/>
      <c r="K630" s="583">
        <f t="shared" si="127"/>
        <v>120.2</v>
      </c>
      <c r="L630" s="583">
        <f t="shared" si="127"/>
        <v>0</v>
      </c>
      <c r="M630" s="583">
        <f t="shared" si="127"/>
        <v>120.2</v>
      </c>
    </row>
    <row r="631" spans="1:14" s="392" customFormat="1" ht="56.25" customHeight="1">
      <c r="A631" s="391"/>
      <c r="B631" s="164" t="s">
        <v>243</v>
      </c>
      <c r="C631" s="165" t="s">
        <v>327</v>
      </c>
      <c r="D631" s="150" t="s">
        <v>57</v>
      </c>
      <c r="E631" s="150" t="s">
        <v>92</v>
      </c>
      <c r="F631" s="744" t="s">
        <v>86</v>
      </c>
      <c r="G631" s="745" t="s">
        <v>62</v>
      </c>
      <c r="H631" s="745" t="s">
        <v>63</v>
      </c>
      <c r="I631" s="746" t="s">
        <v>64</v>
      </c>
      <c r="J631" s="150"/>
      <c r="K631" s="583">
        <f t="shared" si="127"/>
        <v>120.2</v>
      </c>
      <c r="L631" s="583">
        <f t="shared" si="127"/>
        <v>0</v>
      </c>
      <c r="M631" s="583">
        <f t="shared" si="127"/>
        <v>120.2</v>
      </c>
    </row>
    <row r="632" spans="1:14" s="392" customFormat="1" ht="33" customHeight="1">
      <c r="A632" s="391"/>
      <c r="B632" s="164" t="s">
        <v>242</v>
      </c>
      <c r="C632" s="165" t="s">
        <v>327</v>
      </c>
      <c r="D632" s="150" t="s">
        <v>57</v>
      </c>
      <c r="E632" s="150" t="s">
        <v>92</v>
      </c>
      <c r="F632" s="744" t="s">
        <v>86</v>
      </c>
      <c r="G632" s="745" t="s">
        <v>110</v>
      </c>
      <c r="H632" s="745" t="s">
        <v>63</v>
      </c>
      <c r="I632" s="746" t="s">
        <v>64</v>
      </c>
      <c r="J632" s="150"/>
      <c r="K632" s="583">
        <f>K633+K636+K639</f>
        <v>120.2</v>
      </c>
      <c r="L632" s="583">
        <f>L633+L636+L639</f>
        <v>0</v>
      </c>
      <c r="M632" s="583">
        <f>M633+M636+M639</f>
        <v>120.2</v>
      </c>
    </row>
    <row r="633" spans="1:14" s="392" customFormat="1" ht="44.25" customHeight="1">
      <c r="A633" s="391"/>
      <c r="B633" s="660" t="s">
        <v>428</v>
      </c>
      <c r="C633" s="165" t="s">
        <v>327</v>
      </c>
      <c r="D633" s="150" t="s">
        <v>57</v>
      </c>
      <c r="E633" s="150" t="s">
        <v>92</v>
      </c>
      <c r="F633" s="744" t="s">
        <v>86</v>
      </c>
      <c r="G633" s="745" t="s">
        <v>110</v>
      </c>
      <c r="H633" s="745" t="s">
        <v>59</v>
      </c>
      <c r="I633" s="746" t="s">
        <v>64</v>
      </c>
      <c r="J633" s="150"/>
      <c r="K633" s="583">
        <f t="shared" ref="K633:M634" si="128">K634</f>
        <v>62.9</v>
      </c>
      <c r="L633" s="583">
        <f t="shared" si="128"/>
        <v>0</v>
      </c>
      <c r="M633" s="583">
        <f t="shared" si="128"/>
        <v>62.9</v>
      </c>
    </row>
    <row r="634" spans="1:14" s="392" customFormat="1" ht="56.25" customHeight="1">
      <c r="A634" s="391"/>
      <c r="B634" s="660" t="s">
        <v>429</v>
      </c>
      <c r="C634" s="165" t="s">
        <v>327</v>
      </c>
      <c r="D634" s="150" t="s">
        <v>57</v>
      </c>
      <c r="E634" s="150" t="s">
        <v>92</v>
      </c>
      <c r="F634" s="744" t="s">
        <v>86</v>
      </c>
      <c r="G634" s="745" t="s">
        <v>110</v>
      </c>
      <c r="H634" s="745" t="s">
        <v>59</v>
      </c>
      <c r="I634" s="746" t="s">
        <v>126</v>
      </c>
      <c r="J634" s="150"/>
      <c r="K634" s="583">
        <f t="shared" si="128"/>
        <v>62.9</v>
      </c>
      <c r="L634" s="583">
        <f t="shared" si="128"/>
        <v>0</v>
      </c>
      <c r="M634" s="583">
        <f t="shared" si="128"/>
        <v>62.9</v>
      </c>
    </row>
    <row r="635" spans="1:14" s="392" customFormat="1" ht="56.25" customHeight="1">
      <c r="A635" s="391"/>
      <c r="B635" s="660" t="s">
        <v>75</v>
      </c>
      <c r="C635" s="165" t="s">
        <v>327</v>
      </c>
      <c r="D635" s="150" t="s">
        <v>57</v>
      </c>
      <c r="E635" s="150" t="s">
        <v>92</v>
      </c>
      <c r="F635" s="744" t="s">
        <v>86</v>
      </c>
      <c r="G635" s="745" t="s">
        <v>110</v>
      </c>
      <c r="H635" s="745" t="s">
        <v>59</v>
      </c>
      <c r="I635" s="746" t="s">
        <v>126</v>
      </c>
      <c r="J635" s="150" t="s">
        <v>76</v>
      </c>
      <c r="K635" s="583">
        <v>62.9</v>
      </c>
      <c r="L635" s="166">
        <f>M635-K635</f>
        <v>0</v>
      </c>
      <c r="M635" s="583">
        <v>62.9</v>
      </c>
    </row>
    <row r="636" spans="1:14" s="392" customFormat="1" ht="42" customHeight="1">
      <c r="A636" s="391"/>
      <c r="B636" s="164" t="s">
        <v>804</v>
      </c>
      <c r="C636" s="165" t="s">
        <v>327</v>
      </c>
      <c r="D636" s="150" t="s">
        <v>57</v>
      </c>
      <c r="E636" s="150" t="s">
        <v>92</v>
      </c>
      <c r="F636" s="744" t="s">
        <v>86</v>
      </c>
      <c r="G636" s="745" t="s">
        <v>110</v>
      </c>
      <c r="H636" s="745" t="s">
        <v>84</v>
      </c>
      <c r="I636" s="746" t="s">
        <v>64</v>
      </c>
      <c r="J636" s="150"/>
      <c r="K636" s="583">
        <f t="shared" ref="K636:M637" si="129">K637</f>
        <v>14.8</v>
      </c>
      <c r="L636" s="583">
        <f t="shared" si="129"/>
        <v>0</v>
      </c>
      <c r="M636" s="583">
        <f t="shared" si="129"/>
        <v>14.8</v>
      </c>
    </row>
    <row r="637" spans="1:14" s="392" customFormat="1" ht="21" customHeight="1">
      <c r="A637" s="391"/>
      <c r="B637" s="164" t="s">
        <v>802</v>
      </c>
      <c r="C637" s="165" t="s">
        <v>327</v>
      </c>
      <c r="D637" s="150" t="s">
        <v>57</v>
      </c>
      <c r="E637" s="150" t="s">
        <v>92</v>
      </c>
      <c r="F637" s="744" t="s">
        <v>86</v>
      </c>
      <c r="G637" s="745" t="s">
        <v>110</v>
      </c>
      <c r="H637" s="745" t="s">
        <v>84</v>
      </c>
      <c r="I637" s="746" t="s">
        <v>803</v>
      </c>
      <c r="J637" s="150"/>
      <c r="K637" s="583">
        <f t="shared" si="129"/>
        <v>14.8</v>
      </c>
      <c r="L637" s="583">
        <f t="shared" si="129"/>
        <v>0</v>
      </c>
      <c r="M637" s="583">
        <f t="shared" si="129"/>
        <v>14.8</v>
      </c>
    </row>
    <row r="638" spans="1:14" s="392" customFormat="1" ht="56.25" customHeight="1">
      <c r="A638" s="391"/>
      <c r="B638" s="660" t="s">
        <v>75</v>
      </c>
      <c r="C638" s="165" t="s">
        <v>327</v>
      </c>
      <c r="D638" s="150" t="s">
        <v>57</v>
      </c>
      <c r="E638" s="150" t="s">
        <v>92</v>
      </c>
      <c r="F638" s="744" t="s">
        <v>86</v>
      </c>
      <c r="G638" s="745" t="s">
        <v>110</v>
      </c>
      <c r="H638" s="745" t="s">
        <v>84</v>
      </c>
      <c r="I638" s="746" t="s">
        <v>803</v>
      </c>
      <c r="J638" s="181" t="s">
        <v>76</v>
      </c>
      <c r="K638" s="583">
        <v>14.8</v>
      </c>
      <c r="L638" s="166">
        <f>M638-K638</f>
        <v>0</v>
      </c>
      <c r="M638" s="583">
        <v>14.8</v>
      </c>
    </row>
    <row r="639" spans="1:14" s="392" customFormat="1" ht="41.25" customHeight="1">
      <c r="A639" s="391"/>
      <c r="B639" s="660" t="s">
        <v>818</v>
      </c>
      <c r="C639" s="165" t="s">
        <v>327</v>
      </c>
      <c r="D639" s="150" t="s">
        <v>57</v>
      </c>
      <c r="E639" s="150" t="s">
        <v>92</v>
      </c>
      <c r="F639" s="744" t="s">
        <v>86</v>
      </c>
      <c r="G639" s="745" t="s">
        <v>110</v>
      </c>
      <c r="H639" s="745" t="s">
        <v>72</v>
      </c>
      <c r="I639" s="746" t="s">
        <v>64</v>
      </c>
      <c r="J639" s="160"/>
      <c r="K639" s="583">
        <f t="shared" ref="K639:M640" si="130">K640</f>
        <v>42.5</v>
      </c>
      <c r="L639" s="583">
        <f t="shared" si="130"/>
        <v>0</v>
      </c>
      <c r="M639" s="583">
        <f t="shared" si="130"/>
        <v>42.5</v>
      </c>
    </row>
    <row r="640" spans="1:14" s="392" customFormat="1" ht="38.25" customHeight="1">
      <c r="A640" s="391"/>
      <c r="B640" s="592" t="s">
        <v>148</v>
      </c>
      <c r="C640" s="165" t="s">
        <v>327</v>
      </c>
      <c r="D640" s="150" t="s">
        <v>57</v>
      </c>
      <c r="E640" s="150" t="s">
        <v>92</v>
      </c>
      <c r="F640" s="744" t="s">
        <v>86</v>
      </c>
      <c r="G640" s="745" t="s">
        <v>110</v>
      </c>
      <c r="H640" s="745" t="s">
        <v>72</v>
      </c>
      <c r="I640" s="746" t="s">
        <v>111</v>
      </c>
      <c r="J640" s="160"/>
      <c r="K640" s="583">
        <f t="shared" si="130"/>
        <v>42.5</v>
      </c>
      <c r="L640" s="583">
        <f t="shared" si="130"/>
        <v>0</v>
      </c>
      <c r="M640" s="583">
        <f t="shared" si="130"/>
        <v>42.5</v>
      </c>
    </row>
    <row r="641" spans="1:14" s="392" customFormat="1" ht="56.25" customHeight="1">
      <c r="A641" s="391"/>
      <c r="B641" s="660" t="s">
        <v>75</v>
      </c>
      <c r="C641" s="165" t="s">
        <v>327</v>
      </c>
      <c r="D641" s="150" t="s">
        <v>57</v>
      </c>
      <c r="E641" s="150" t="s">
        <v>92</v>
      </c>
      <c r="F641" s="744" t="s">
        <v>86</v>
      </c>
      <c r="G641" s="745" t="s">
        <v>110</v>
      </c>
      <c r="H641" s="745" t="s">
        <v>72</v>
      </c>
      <c r="I641" s="746" t="s">
        <v>111</v>
      </c>
      <c r="J641" s="181" t="s">
        <v>76</v>
      </c>
      <c r="K641" s="583">
        <v>42.5</v>
      </c>
      <c r="L641" s="166">
        <f>M641-K641</f>
        <v>0</v>
      </c>
      <c r="M641" s="583">
        <v>42.5</v>
      </c>
    </row>
    <row r="642" spans="1:14" s="147" customFormat="1" ht="18.75" customHeight="1">
      <c r="A642" s="391"/>
      <c r="B642" s="164" t="s">
        <v>201</v>
      </c>
      <c r="C642" s="165" t="s">
        <v>327</v>
      </c>
      <c r="D642" s="150" t="s">
        <v>246</v>
      </c>
      <c r="E642" s="150"/>
      <c r="F642" s="744"/>
      <c r="G642" s="745"/>
      <c r="H642" s="745"/>
      <c r="I642" s="746"/>
      <c r="J642" s="150"/>
      <c r="K642" s="166">
        <f>K643+K653</f>
        <v>6249.5</v>
      </c>
      <c r="L642" s="166">
        <f>L643+L653</f>
        <v>668.69999999999936</v>
      </c>
      <c r="M642" s="166">
        <f>M643+M653</f>
        <v>6918.1999999999989</v>
      </c>
    </row>
    <row r="643" spans="1:14" s="392" customFormat="1" ht="18.75" customHeight="1">
      <c r="A643" s="391"/>
      <c r="B643" s="164" t="s">
        <v>425</v>
      </c>
      <c r="C643" s="165" t="s">
        <v>327</v>
      </c>
      <c r="D643" s="150" t="s">
        <v>246</v>
      </c>
      <c r="E643" s="150" t="s">
        <v>246</v>
      </c>
      <c r="F643" s="744"/>
      <c r="G643" s="745"/>
      <c r="H643" s="745"/>
      <c r="I643" s="746"/>
      <c r="J643" s="150"/>
      <c r="K643" s="166">
        <f t="shared" ref="K643:M645" si="131">K644</f>
        <v>3311.2</v>
      </c>
      <c r="L643" s="166">
        <f t="shared" si="131"/>
        <v>655.69999999999959</v>
      </c>
      <c r="M643" s="166">
        <f t="shared" si="131"/>
        <v>3966.8999999999996</v>
      </c>
    </row>
    <row r="644" spans="1:14" s="392" customFormat="1" ht="56.25" customHeight="1">
      <c r="A644" s="391"/>
      <c r="B644" s="164" t="s">
        <v>243</v>
      </c>
      <c r="C644" s="165" t="s">
        <v>327</v>
      </c>
      <c r="D644" s="150" t="s">
        <v>246</v>
      </c>
      <c r="E644" s="150" t="s">
        <v>246</v>
      </c>
      <c r="F644" s="744" t="s">
        <v>86</v>
      </c>
      <c r="G644" s="745" t="s">
        <v>62</v>
      </c>
      <c r="H644" s="745" t="s">
        <v>63</v>
      </c>
      <c r="I644" s="746" t="s">
        <v>64</v>
      </c>
      <c r="J644" s="150"/>
      <c r="K644" s="166">
        <f t="shared" si="131"/>
        <v>3311.2</v>
      </c>
      <c r="L644" s="166">
        <f t="shared" si="131"/>
        <v>655.69999999999959</v>
      </c>
      <c r="M644" s="166">
        <f t="shared" si="131"/>
        <v>3966.8999999999996</v>
      </c>
    </row>
    <row r="645" spans="1:14" s="392" customFormat="1" ht="18.75" customHeight="1">
      <c r="A645" s="391"/>
      <c r="B645" s="164" t="s">
        <v>244</v>
      </c>
      <c r="C645" s="165" t="s">
        <v>327</v>
      </c>
      <c r="D645" s="150" t="s">
        <v>246</v>
      </c>
      <c r="E645" s="150" t="s">
        <v>246</v>
      </c>
      <c r="F645" s="744" t="s">
        <v>86</v>
      </c>
      <c r="G645" s="745" t="s">
        <v>65</v>
      </c>
      <c r="H645" s="745" t="s">
        <v>63</v>
      </c>
      <c r="I645" s="746" t="s">
        <v>64</v>
      </c>
      <c r="J645" s="150"/>
      <c r="K645" s="166">
        <f t="shared" si="131"/>
        <v>3311.2</v>
      </c>
      <c r="L645" s="166">
        <f t="shared" si="131"/>
        <v>655.69999999999959</v>
      </c>
      <c r="M645" s="166">
        <f t="shared" si="131"/>
        <v>3966.8999999999996</v>
      </c>
    </row>
    <row r="646" spans="1:14" s="392" customFormat="1" ht="76.5" customHeight="1">
      <c r="A646" s="391"/>
      <c r="B646" s="164" t="s">
        <v>328</v>
      </c>
      <c r="C646" s="165" t="s">
        <v>327</v>
      </c>
      <c r="D646" s="150" t="s">
        <v>246</v>
      </c>
      <c r="E646" s="150" t="s">
        <v>246</v>
      </c>
      <c r="F646" s="744" t="s">
        <v>86</v>
      </c>
      <c r="G646" s="745" t="s">
        <v>65</v>
      </c>
      <c r="H646" s="745" t="s">
        <v>57</v>
      </c>
      <c r="I646" s="746" t="s">
        <v>64</v>
      </c>
      <c r="J646" s="150"/>
      <c r="K646" s="166">
        <f>K647+K651</f>
        <v>3311.2</v>
      </c>
      <c r="L646" s="166">
        <f>L647+L651</f>
        <v>655.69999999999959</v>
      </c>
      <c r="M646" s="166">
        <f>M647+M651</f>
        <v>3966.8999999999996</v>
      </c>
    </row>
    <row r="647" spans="1:14" s="392" customFormat="1" ht="38.25" customHeight="1">
      <c r="A647" s="391"/>
      <c r="B647" s="167" t="s">
        <v>800</v>
      </c>
      <c r="C647" s="165" t="s">
        <v>327</v>
      </c>
      <c r="D647" s="150" t="s">
        <v>246</v>
      </c>
      <c r="E647" s="150" t="s">
        <v>246</v>
      </c>
      <c r="F647" s="744" t="s">
        <v>86</v>
      </c>
      <c r="G647" s="745" t="s">
        <v>65</v>
      </c>
      <c r="H647" s="745" t="s">
        <v>57</v>
      </c>
      <c r="I647" s="746" t="s">
        <v>112</v>
      </c>
      <c r="J647" s="150"/>
      <c r="K647" s="166">
        <f>K648+K649+K650</f>
        <v>2892.6</v>
      </c>
      <c r="L647" s="166">
        <f>L648+L649+L650</f>
        <v>455.69999999999965</v>
      </c>
      <c r="M647" s="166">
        <f>M648+M649+M650</f>
        <v>3348.2999999999997</v>
      </c>
    </row>
    <row r="648" spans="1:14" s="392" customFormat="1" ht="112.5" customHeight="1">
      <c r="A648" s="151"/>
      <c r="B648" s="164" t="s">
        <v>69</v>
      </c>
      <c r="C648" s="165" t="s">
        <v>327</v>
      </c>
      <c r="D648" s="150" t="s">
        <v>246</v>
      </c>
      <c r="E648" s="150" t="s">
        <v>246</v>
      </c>
      <c r="F648" s="744" t="s">
        <v>86</v>
      </c>
      <c r="G648" s="745" t="s">
        <v>65</v>
      </c>
      <c r="H648" s="745" t="s">
        <v>57</v>
      </c>
      <c r="I648" s="746" t="s">
        <v>112</v>
      </c>
      <c r="J648" s="150" t="s">
        <v>70</v>
      </c>
      <c r="K648" s="166">
        <v>2590.3000000000002</v>
      </c>
      <c r="L648" s="166">
        <f t="shared" ref="L648:L650" si="132">M648-K648</f>
        <v>463.89999999999964</v>
      </c>
      <c r="M648" s="764">
        <f>2590.3+8.2+455.7</f>
        <v>3054.2</v>
      </c>
    </row>
    <row r="649" spans="1:14" s="147" customFormat="1" ht="53.25" customHeight="1">
      <c r="A649" s="151"/>
      <c r="B649" s="164" t="s">
        <v>75</v>
      </c>
      <c r="C649" s="165" t="s">
        <v>327</v>
      </c>
      <c r="D649" s="150" t="s">
        <v>246</v>
      </c>
      <c r="E649" s="150" t="s">
        <v>246</v>
      </c>
      <c r="F649" s="744" t="s">
        <v>86</v>
      </c>
      <c r="G649" s="745" t="s">
        <v>65</v>
      </c>
      <c r="H649" s="745" t="s">
        <v>57</v>
      </c>
      <c r="I649" s="746" t="s">
        <v>112</v>
      </c>
      <c r="J649" s="150" t="s">
        <v>76</v>
      </c>
      <c r="K649" s="166">
        <v>299.60000000000002</v>
      </c>
      <c r="L649" s="166">
        <f t="shared" si="132"/>
        <v>-15.699999999999989</v>
      </c>
      <c r="M649" s="764">
        <f>299.6-15.7</f>
        <v>283.90000000000003</v>
      </c>
    </row>
    <row r="650" spans="1:14" s="147" customFormat="1" ht="18.75" customHeight="1">
      <c r="A650" s="151"/>
      <c r="B650" s="164" t="s">
        <v>77</v>
      </c>
      <c r="C650" s="165" t="s">
        <v>327</v>
      </c>
      <c r="D650" s="150" t="s">
        <v>246</v>
      </c>
      <c r="E650" s="150" t="s">
        <v>246</v>
      </c>
      <c r="F650" s="744" t="s">
        <v>86</v>
      </c>
      <c r="G650" s="745" t="s">
        <v>65</v>
      </c>
      <c r="H650" s="745" t="s">
        <v>57</v>
      </c>
      <c r="I650" s="746" t="s">
        <v>112</v>
      </c>
      <c r="J650" s="150" t="s">
        <v>78</v>
      </c>
      <c r="K650" s="166">
        <v>2.7</v>
      </c>
      <c r="L650" s="166">
        <f t="shared" si="132"/>
        <v>7.4999999999999991</v>
      </c>
      <c r="M650" s="764">
        <f>2.7+7.5</f>
        <v>10.199999999999999</v>
      </c>
    </row>
    <row r="651" spans="1:14" s="147" customFormat="1" ht="34.5" customHeight="1">
      <c r="A651" s="151"/>
      <c r="B651" s="164" t="s">
        <v>329</v>
      </c>
      <c r="C651" s="165" t="s">
        <v>327</v>
      </c>
      <c r="D651" s="150" t="s">
        <v>246</v>
      </c>
      <c r="E651" s="150" t="s">
        <v>246</v>
      </c>
      <c r="F651" s="744" t="s">
        <v>86</v>
      </c>
      <c r="G651" s="745" t="s">
        <v>65</v>
      </c>
      <c r="H651" s="745" t="s">
        <v>57</v>
      </c>
      <c r="I651" s="746" t="s">
        <v>330</v>
      </c>
      <c r="J651" s="150"/>
      <c r="K651" s="166">
        <f>K652</f>
        <v>418.6</v>
      </c>
      <c r="L651" s="166">
        <f>L652</f>
        <v>200</v>
      </c>
      <c r="M651" s="166">
        <f>M652</f>
        <v>618.6</v>
      </c>
    </row>
    <row r="652" spans="1:14" s="147" customFormat="1" ht="56.25" customHeight="1">
      <c r="A652" s="151"/>
      <c r="B652" s="164" t="s">
        <v>75</v>
      </c>
      <c r="C652" s="165" t="s">
        <v>327</v>
      </c>
      <c r="D652" s="150" t="s">
        <v>246</v>
      </c>
      <c r="E652" s="150" t="s">
        <v>246</v>
      </c>
      <c r="F652" s="744" t="s">
        <v>86</v>
      </c>
      <c r="G652" s="745" t="s">
        <v>65</v>
      </c>
      <c r="H652" s="745" t="s">
        <v>57</v>
      </c>
      <c r="I652" s="746" t="s">
        <v>330</v>
      </c>
      <c r="J652" s="150" t="s">
        <v>76</v>
      </c>
      <c r="K652" s="166">
        <v>418.6</v>
      </c>
      <c r="L652" s="166">
        <f>M652-K652</f>
        <v>200</v>
      </c>
      <c r="M652" s="764">
        <f>418.6+200</f>
        <v>618.6</v>
      </c>
    </row>
    <row r="653" spans="1:14" s="147" customFormat="1" ht="18.75" customHeight="1">
      <c r="A653" s="151"/>
      <c r="B653" s="164" t="s">
        <v>208</v>
      </c>
      <c r="C653" s="430" t="s">
        <v>327</v>
      </c>
      <c r="D653" s="150" t="s">
        <v>246</v>
      </c>
      <c r="E653" s="150" t="s">
        <v>100</v>
      </c>
      <c r="F653" s="744"/>
      <c r="G653" s="745"/>
      <c r="H653" s="745"/>
      <c r="I653" s="746"/>
      <c r="J653" s="150"/>
      <c r="K653" s="166">
        <f t="shared" ref="K653:M655" si="133">K654</f>
        <v>2938.2999999999997</v>
      </c>
      <c r="L653" s="166">
        <f t="shared" si="133"/>
        <v>12.999999999999829</v>
      </c>
      <c r="M653" s="166">
        <f t="shared" si="133"/>
        <v>2951.2999999999997</v>
      </c>
      <c r="N653" s="444"/>
    </row>
    <row r="654" spans="1:14" s="147" customFormat="1" ht="56.25" customHeight="1">
      <c r="A654" s="151"/>
      <c r="B654" s="164" t="s">
        <v>243</v>
      </c>
      <c r="C654" s="430" t="s">
        <v>327</v>
      </c>
      <c r="D654" s="150" t="s">
        <v>246</v>
      </c>
      <c r="E654" s="150" t="s">
        <v>100</v>
      </c>
      <c r="F654" s="744" t="s">
        <v>86</v>
      </c>
      <c r="G654" s="745" t="s">
        <v>62</v>
      </c>
      <c r="H654" s="745" t="s">
        <v>63</v>
      </c>
      <c r="I654" s="746" t="s">
        <v>64</v>
      </c>
      <c r="J654" s="150"/>
      <c r="K654" s="166">
        <f t="shared" si="133"/>
        <v>2938.2999999999997</v>
      </c>
      <c r="L654" s="166">
        <f t="shared" si="133"/>
        <v>12.999999999999829</v>
      </c>
      <c r="M654" s="166">
        <f t="shared" si="133"/>
        <v>2951.2999999999997</v>
      </c>
      <c r="N654" s="444"/>
    </row>
    <row r="655" spans="1:14" s="147" customFormat="1" ht="37.5" customHeight="1">
      <c r="A655" s="151"/>
      <c r="B655" s="164" t="s">
        <v>242</v>
      </c>
      <c r="C655" s="165" t="s">
        <v>327</v>
      </c>
      <c r="D655" s="150" t="s">
        <v>246</v>
      </c>
      <c r="E655" s="150" t="s">
        <v>100</v>
      </c>
      <c r="F655" s="744" t="s">
        <v>86</v>
      </c>
      <c r="G655" s="745" t="s">
        <v>110</v>
      </c>
      <c r="H655" s="745" t="s">
        <v>63</v>
      </c>
      <c r="I655" s="746" t="s">
        <v>64</v>
      </c>
      <c r="J655" s="150"/>
      <c r="K655" s="166">
        <f t="shared" si="133"/>
        <v>2938.2999999999997</v>
      </c>
      <c r="L655" s="166">
        <f t="shared" si="133"/>
        <v>12.999999999999829</v>
      </c>
      <c r="M655" s="166">
        <f t="shared" si="133"/>
        <v>2951.2999999999997</v>
      </c>
    </row>
    <row r="656" spans="1:14" s="392" customFormat="1" ht="37.5" customHeight="1">
      <c r="A656" s="151"/>
      <c r="B656" s="164" t="s">
        <v>322</v>
      </c>
      <c r="C656" s="165" t="s">
        <v>327</v>
      </c>
      <c r="D656" s="150" t="s">
        <v>246</v>
      </c>
      <c r="E656" s="150" t="s">
        <v>100</v>
      </c>
      <c r="F656" s="744" t="s">
        <v>86</v>
      </c>
      <c r="G656" s="745" t="s">
        <v>110</v>
      </c>
      <c r="H656" s="745" t="s">
        <v>57</v>
      </c>
      <c r="I656" s="746" t="s">
        <v>64</v>
      </c>
      <c r="J656" s="150"/>
      <c r="K656" s="166">
        <f>K657</f>
        <v>2938.2999999999997</v>
      </c>
      <c r="L656" s="166">
        <f>L657</f>
        <v>12.999999999999829</v>
      </c>
      <c r="M656" s="166">
        <f>M657</f>
        <v>2951.2999999999997</v>
      </c>
    </row>
    <row r="657" spans="1:14" s="147" customFormat="1" ht="37.5" customHeight="1">
      <c r="A657" s="151"/>
      <c r="B657" s="164" t="s">
        <v>67</v>
      </c>
      <c r="C657" s="165" t="s">
        <v>327</v>
      </c>
      <c r="D657" s="150" t="s">
        <v>246</v>
      </c>
      <c r="E657" s="150" t="s">
        <v>100</v>
      </c>
      <c r="F657" s="744" t="s">
        <v>86</v>
      </c>
      <c r="G657" s="745" t="s">
        <v>110</v>
      </c>
      <c r="H657" s="745" t="s">
        <v>57</v>
      </c>
      <c r="I657" s="746" t="s">
        <v>68</v>
      </c>
      <c r="J657" s="150"/>
      <c r="K657" s="166">
        <f>K658+K659+K660</f>
        <v>2938.2999999999997</v>
      </c>
      <c r="L657" s="166">
        <f>L658+L659+L660</f>
        <v>12.999999999999829</v>
      </c>
      <c r="M657" s="166">
        <f>M658+M659+M660</f>
        <v>2951.2999999999997</v>
      </c>
    </row>
    <row r="658" spans="1:14" s="147" customFormat="1" ht="112.5" customHeight="1">
      <c r="A658" s="151"/>
      <c r="B658" s="164" t="s">
        <v>69</v>
      </c>
      <c r="C658" s="165" t="s">
        <v>327</v>
      </c>
      <c r="D658" s="150" t="s">
        <v>246</v>
      </c>
      <c r="E658" s="150" t="s">
        <v>100</v>
      </c>
      <c r="F658" s="744" t="s">
        <v>86</v>
      </c>
      <c r="G658" s="745" t="s">
        <v>110</v>
      </c>
      <c r="H658" s="745" t="s">
        <v>57</v>
      </c>
      <c r="I658" s="746" t="s">
        <v>68</v>
      </c>
      <c r="J658" s="150" t="s">
        <v>70</v>
      </c>
      <c r="K658" s="166">
        <v>2656.5</v>
      </c>
      <c r="L658" s="166">
        <f t="shared" ref="L658:L660" si="134">M658-K658</f>
        <v>8.1999999999998181</v>
      </c>
      <c r="M658" s="764">
        <f>2656.5+8.2</f>
        <v>2664.7</v>
      </c>
      <c r="N658" s="444"/>
    </row>
    <row r="659" spans="1:14" s="147" customFormat="1" ht="56.25" customHeight="1">
      <c r="A659" s="151"/>
      <c r="B659" s="164" t="s">
        <v>75</v>
      </c>
      <c r="C659" s="430" t="s">
        <v>327</v>
      </c>
      <c r="D659" s="323" t="s">
        <v>246</v>
      </c>
      <c r="E659" s="323" t="s">
        <v>100</v>
      </c>
      <c r="F659" s="744" t="s">
        <v>86</v>
      </c>
      <c r="G659" s="745" t="s">
        <v>110</v>
      </c>
      <c r="H659" s="745" t="s">
        <v>57</v>
      </c>
      <c r="I659" s="746" t="s">
        <v>68</v>
      </c>
      <c r="J659" s="150" t="s">
        <v>76</v>
      </c>
      <c r="K659" s="166">
        <v>280.60000000000002</v>
      </c>
      <c r="L659" s="166">
        <f t="shared" si="134"/>
        <v>4.8000000000000114</v>
      </c>
      <c r="M659" s="764">
        <f>280.6-8.2+13</f>
        <v>285.40000000000003</v>
      </c>
    </row>
    <row r="660" spans="1:14" s="147" customFormat="1" ht="18.75" customHeight="1">
      <c r="A660" s="151"/>
      <c r="B660" s="164" t="s">
        <v>77</v>
      </c>
      <c r="C660" s="430" t="s">
        <v>327</v>
      </c>
      <c r="D660" s="323" t="s">
        <v>246</v>
      </c>
      <c r="E660" s="323" t="s">
        <v>100</v>
      </c>
      <c r="F660" s="744" t="s">
        <v>86</v>
      </c>
      <c r="G660" s="745" t="s">
        <v>110</v>
      </c>
      <c r="H660" s="745" t="s">
        <v>57</v>
      </c>
      <c r="I660" s="746" t="s">
        <v>68</v>
      </c>
      <c r="J660" s="150" t="s">
        <v>78</v>
      </c>
      <c r="K660" s="166">
        <v>1.2</v>
      </c>
      <c r="L660" s="166">
        <f t="shared" si="134"/>
        <v>0</v>
      </c>
      <c r="M660" s="166">
        <v>1.2</v>
      </c>
      <c r="N660" s="444"/>
    </row>
    <row r="661" spans="1:14" s="147" customFormat="1" ht="14.25" customHeight="1">
      <c r="A661" s="151"/>
      <c r="B661" s="164"/>
      <c r="C661" s="430"/>
      <c r="D661" s="323"/>
      <c r="E661" s="323"/>
      <c r="F661" s="744"/>
      <c r="G661" s="745"/>
      <c r="H661" s="745"/>
      <c r="I661" s="746"/>
      <c r="J661" s="150"/>
      <c r="K661" s="166"/>
      <c r="L661" s="729"/>
      <c r="M661" s="166"/>
      <c r="N661" s="444"/>
    </row>
    <row r="662" spans="1:14" s="392" customFormat="1" ht="54" customHeight="1">
      <c r="A662" s="391">
        <v>9</v>
      </c>
      <c r="B662" s="158" t="s">
        <v>28</v>
      </c>
      <c r="C662" s="159" t="s">
        <v>338</v>
      </c>
      <c r="D662" s="160"/>
      <c r="E662" s="160"/>
      <c r="F662" s="161"/>
      <c r="G662" s="162"/>
      <c r="H662" s="162"/>
      <c r="I662" s="163"/>
      <c r="J662" s="160"/>
      <c r="K662" s="189">
        <f>K663+K670</f>
        <v>66792.800000000003</v>
      </c>
      <c r="L662" s="189">
        <f>L663+L670</f>
        <v>5.2</v>
      </c>
      <c r="M662" s="189">
        <f>M663+M670</f>
        <v>66798</v>
      </c>
    </row>
    <row r="663" spans="1:14" s="147" customFormat="1" ht="18.75" customHeight="1">
      <c r="A663" s="151"/>
      <c r="B663" s="170" t="s">
        <v>201</v>
      </c>
      <c r="C663" s="165" t="s">
        <v>338</v>
      </c>
      <c r="D663" s="150" t="s">
        <v>246</v>
      </c>
      <c r="E663" s="150"/>
      <c r="F663" s="744"/>
      <c r="G663" s="745"/>
      <c r="H663" s="745"/>
      <c r="I663" s="746"/>
      <c r="J663" s="150"/>
      <c r="K663" s="166">
        <f t="shared" ref="K663:M668" si="135">K664</f>
        <v>10.1</v>
      </c>
      <c r="L663" s="166">
        <f t="shared" si="135"/>
        <v>0</v>
      </c>
      <c r="M663" s="166">
        <f t="shared" si="135"/>
        <v>10.1</v>
      </c>
    </row>
    <row r="664" spans="1:14" s="392" customFormat="1" ht="18.75" customHeight="1">
      <c r="A664" s="151"/>
      <c r="B664" s="164" t="s">
        <v>425</v>
      </c>
      <c r="C664" s="165" t="s">
        <v>338</v>
      </c>
      <c r="D664" s="150" t="s">
        <v>246</v>
      </c>
      <c r="E664" s="150" t="s">
        <v>246</v>
      </c>
      <c r="F664" s="744"/>
      <c r="G664" s="745"/>
      <c r="H664" s="745"/>
      <c r="I664" s="746"/>
      <c r="J664" s="150"/>
      <c r="K664" s="166">
        <f t="shared" si="135"/>
        <v>10.1</v>
      </c>
      <c r="L664" s="166">
        <f t="shared" si="135"/>
        <v>0</v>
      </c>
      <c r="M664" s="166">
        <f t="shared" si="135"/>
        <v>10.1</v>
      </c>
    </row>
    <row r="665" spans="1:14" s="392" customFormat="1" ht="56.25" customHeight="1">
      <c r="A665" s="151"/>
      <c r="B665" s="164" t="s">
        <v>339</v>
      </c>
      <c r="C665" s="165" t="s">
        <v>338</v>
      </c>
      <c r="D665" s="150" t="s">
        <v>246</v>
      </c>
      <c r="E665" s="150" t="s">
        <v>246</v>
      </c>
      <c r="F665" s="744" t="s">
        <v>100</v>
      </c>
      <c r="G665" s="745" t="s">
        <v>62</v>
      </c>
      <c r="H665" s="745" t="s">
        <v>63</v>
      </c>
      <c r="I665" s="746" t="s">
        <v>64</v>
      </c>
      <c r="J665" s="150"/>
      <c r="K665" s="166">
        <f t="shared" si="135"/>
        <v>10.1</v>
      </c>
      <c r="L665" s="166">
        <f t="shared" si="135"/>
        <v>0</v>
      </c>
      <c r="M665" s="166">
        <f t="shared" si="135"/>
        <v>10.1</v>
      </c>
    </row>
    <row r="666" spans="1:14" s="392" customFormat="1" ht="37.5" customHeight="1">
      <c r="A666" s="151"/>
      <c r="B666" s="164" t="s">
        <v>404</v>
      </c>
      <c r="C666" s="165" t="s">
        <v>338</v>
      </c>
      <c r="D666" s="150" t="s">
        <v>246</v>
      </c>
      <c r="E666" s="150" t="s">
        <v>246</v>
      </c>
      <c r="F666" s="744" t="s">
        <v>100</v>
      </c>
      <c r="G666" s="745" t="s">
        <v>65</v>
      </c>
      <c r="H666" s="745" t="s">
        <v>63</v>
      </c>
      <c r="I666" s="746" t="s">
        <v>64</v>
      </c>
      <c r="J666" s="150"/>
      <c r="K666" s="166">
        <f t="shared" si="135"/>
        <v>10.1</v>
      </c>
      <c r="L666" s="166">
        <f t="shared" si="135"/>
        <v>0</v>
      </c>
      <c r="M666" s="166">
        <f t="shared" si="135"/>
        <v>10.1</v>
      </c>
    </row>
    <row r="667" spans="1:14" s="392" customFormat="1" ht="37.5" customHeight="1">
      <c r="A667" s="151"/>
      <c r="B667" s="164" t="s">
        <v>325</v>
      </c>
      <c r="C667" s="165" t="s">
        <v>338</v>
      </c>
      <c r="D667" s="150" t="s">
        <v>246</v>
      </c>
      <c r="E667" s="150" t="s">
        <v>246</v>
      </c>
      <c r="F667" s="744" t="s">
        <v>100</v>
      </c>
      <c r="G667" s="745" t="s">
        <v>65</v>
      </c>
      <c r="H667" s="745" t="s">
        <v>57</v>
      </c>
      <c r="I667" s="746" t="s">
        <v>64</v>
      </c>
      <c r="J667" s="150"/>
      <c r="K667" s="166">
        <f t="shared" si="135"/>
        <v>10.1</v>
      </c>
      <c r="L667" s="166">
        <f t="shared" si="135"/>
        <v>0</v>
      </c>
      <c r="M667" s="166">
        <f t="shared" si="135"/>
        <v>10.1</v>
      </c>
    </row>
    <row r="668" spans="1:14" s="392" customFormat="1" ht="153.75" customHeight="1">
      <c r="A668" s="151"/>
      <c r="B668" s="431" t="s">
        <v>439</v>
      </c>
      <c r="C668" s="165" t="s">
        <v>338</v>
      </c>
      <c r="D668" s="150" t="s">
        <v>246</v>
      </c>
      <c r="E668" s="150" t="s">
        <v>246</v>
      </c>
      <c r="F668" s="744" t="s">
        <v>100</v>
      </c>
      <c r="G668" s="745" t="s">
        <v>65</v>
      </c>
      <c r="H668" s="745" t="s">
        <v>57</v>
      </c>
      <c r="I668" s="746" t="s">
        <v>340</v>
      </c>
      <c r="J668" s="150"/>
      <c r="K668" s="166">
        <f t="shared" si="135"/>
        <v>10.1</v>
      </c>
      <c r="L668" s="166">
        <f t="shared" si="135"/>
        <v>0</v>
      </c>
      <c r="M668" s="166">
        <f t="shared" si="135"/>
        <v>10.1</v>
      </c>
    </row>
    <row r="669" spans="1:14" s="392" customFormat="1" ht="37.5" customHeight="1">
      <c r="A669" s="151"/>
      <c r="B669" s="164" t="s">
        <v>141</v>
      </c>
      <c r="C669" s="165" t="s">
        <v>338</v>
      </c>
      <c r="D669" s="150" t="s">
        <v>246</v>
      </c>
      <c r="E669" s="150" t="s">
        <v>246</v>
      </c>
      <c r="F669" s="744" t="s">
        <v>100</v>
      </c>
      <c r="G669" s="745" t="s">
        <v>65</v>
      </c>
      <c r="H669" s="745" t="s">
        <v>57</v>
      </c>
      <c r="I669" s="746" t="s">
        <v>340</v>
      </c>
      <c r="J669" s="150" t="s">
        <v>142</v>
      </c>
      <c r="K669" s="166">
        <v>10.1</v>
      </c>
      <c r="L669" s="166">
        <f>M669-K669</f>
        <v>0</v>
      </c>
      <c r="M669" s="166">
        <v>10.1</v>
      </c>
    </row>
    <row r="670" spans="1:14" s="147" customFormat="1" ht="18.75" customHeight="1">
      <c r="A670" s="151"/>
      <c r="B670" s="170" t="s">
        <v>140</v>
      </c>
      <c r="C670" s="165" t="s">
        <v>338</v>
      </c>
      <c r="D670" s="150" t="s">
        <v>125</v>
      </c>
      <c r="E670" s="150"/>
      <c r="F670" s="744"/>
      <c r="G670" s="745"/>
      <c r="H670" s="745"/>
      <c r="I670" s="746"/>
      <c r="J670" s="150"/>
      <c r="K670" s="166">
        <f>K671+K690</f>
        <v>66782.7</v>
      </c>
      <c r="L670" s="166">
        <f>L671+L690</f>
        <v>5.2</v>
      </c>
      <c r="M670" s="166">
        <f>M671+M690</f>
        <v>66787.899999999994</v>
      </c>
    </row>
    <row r="671" spans="1:14" s="147" customFormat="1" ht="18.75" customHeight="1">
      <c r="A671" s="151"/>
      <c r="B671" s="164" t="s">
        <v>215</v>
      </c>
      <c r="C671" s="165" t="s">
        <v>338</v>
      </c>
      <c r="D671" s="150" t="s">
        <v>125</v>
      </c>
      <c r="E671" s="150" t="s">
        <v>72</v>
      </c>
      <c r="F671" s="744"/>
      <c r="G671" s="745"/>
      <c r="H671" s="745"/>
      <c r="I671" s="746"/>
      <c r="J671" s="150"/>
      <c r="K671" s="166">
        <f t="shared" ref="K671:M672" si="136">K672</f>
        <v>59190.999999999993</v>
      </c>
      <c r="L671" s="166">
        <f t="shared" si="136"/>
        <v>5.2</v>
      </c>
      <c r="M671" s="166">
        <f t="shared" si="136"/>
        <v>59196.19999999999</v>
      </c>
    </row>
    <row r="672" spans="1:14" s="147" customFormat="1" ht="56.25" customHeight="1">
      <c r="A672" s="151"/>
      <c r="B672" s="168" t="s">
        <v>252</v>
      </c>
      <c r="C672" s="165" t="s">
        <v>338</v>
      </c>
      <c r="D672" s="150" t="s">
        <v>125</v>
      </c>
      <c r="E672" s="150" t="s">
        <v>72</v>
      </c>
      <c r="F672" s="744" t="s">
        <v>100</v>
      </c>
      <c r="G672" s="745" t="s">
        <v>62</v>
      </c>
      <c r="H672" s="745" t="s">
        <v>63</v>
      </c>
      <c r="I672" s="746" t="s">
        <v>64</v>
      </c>
      <c r="J672" s="150"/>
      <c r="K672" s="166">
        <f t="shared" si="136"/>
        <v>59190.999999999993</v>
      </c>
      <c r="L672" s="166">
        <f t="shared" si="136"/>
        <v>5.2</v>
      </c>
      <c r="M672" s="166">
        <f t="shared" si="136"/>
        <v>59196.19999999999</v>
      </c>
    </row>
    <row r="673" spans="1:13" s="147" customFormat="1" ht="37.5" customHeight="1">
      <c r="A673" s="151"/>
      <c r="B673" s="164" t="s">
        <v>404</v>
      </c>
      <c r="C673" s="165" t="s">
        <v>338</v>
      </c>
      <c r="D673" s="150" t="s">
        <v>125</v>
      </c>
      <c r="E673" s="150" t="s">
        <v>72</v>
      </c>
      <c r="F673" s="744" t="s">
        <v>100</v>
      </c>
      <c r="G673" s="745" t="s">
        <v>65</v>
      </c>
      <c r="H673" s="745" t="s">
        <v>63</v>
      </c>
      <c r="I673" s="746" t="s">
        <v>64</v>
      </c>
      <c r="J673" s="150"/>
      <c r="K673" s="166">
        <f>K674</f>
        <v>59190.999999999993</v>
      </c>
      <c r="L673" s="166">
        <f>L674+L687</f>
        <v>5.2</v>
      </c>
      <c r="M673" s="166">
        <f>M674+M687</f>
        <v>59196.19999999999</v>
      </c>
    </row>
    <row r="674" spans="1:13" s="392" customFormat="1" ht="37.5" customHeight="1">
      <c r="A674" s="151"/>
      <c r="B674" s="164" t="s">
        <v>325</v>
      </c>
      <c r="C674" s="165" t="s">
        <v>338</v>
      </c>
      <c r="D674" s="150" t="s">
        <v>125</v>
      </c>
      <c r="E674" s="150" t="s">
        <v>72</v>
      </c>
      <c r="F674" s="744" t="s">
        <v>100</v>
      </c>
      <c r="G674" s="745" t="s">
        <v>65</v>
      </c>
      <c r="H674" s="745" t="s">
        <v>57</v>
      </c>
      <c r="I674" s="746" t="s">
        <v>64</v>
      </c>
      <c r="J674" s="150"/>
      <c r="K674" s="166">
        <f>K675+K678+K681+K684</f>
        <v>59190.999999999993</v>
      </c>
      <c r="L674" s="166">
        <f>L675+L678+L681+L684</f>
        <v>0</v>
      </c>
      <c r="M674" s="166">
        <f>M675+M678+M681+M684</f>
        <v>59190.999999999993</v>
      </c>
    </row>
    <row r="675" spans="1:13" s="392" customFormat="1" ht="150.75" customHeight="1">
      <c r="A675" s="151"/>
      <c r="B675" s="432" t="s">
        <v>440</v>
      </c>
      <c r="C675" s="165" t="s">
        <v>338</v>
      </c>
      <c r="D675" s="150" t="s">
        <v>125</v>
      </c>
      <c r="E675" s="150" t="s">
        <v>72</v>
      </c>
      <c r="F675" s="744" t="s">
        <v>100</v>
      </c>
      <c r="G675" s="745" t="s">
        <v>65</v>
      </c>
      <c r="H675" s="745" t="s">
        <v>57</v>
      </c>
      <c r="I675" s="746" t="s">
        <v>341</v>
      </c>
      <c r="J675" s="150"/>
      <c r="K675" s="166">
        <f>SUM(K676:K677)</f>
        <v>32982</v>
      </c>
      <c r="L675" s="166">
        <f>SUM(L676:L677)</f>
        <v>0</v>
      </c>
      <c r="M675" s="166">
        <f>SUM(M676:M677)</f>
        <v>32982</v>
      </c>
    </row>
    <row r="676" spans="1:13" s="392" customFormat="1" ht="56.25" customHeight="1">
      <c r="A676" s="151"/>
      <c r="B676" s="164" t="s">
        <v>75</v>
      </c>
      <c r="C676" s="165" t="s">
        <v>338</v>
      </c>
      <c r="D676" s="150" t="s">
        <v>125</v>
      </c>
      <c r="E676" s="150" t="s">
        <v>72</v>
      </c>
      <c r="F676" s="744" t="s">
        <v>100</v>
      </c>
      <c r="G676" s="745" t="s">
        <v>65</v>
      </c>
      <c r="H676" s="745" t="s">
        <v>57</v>
      </c>
      <c r="I676" s="746" t="s">
        <v>341</v>
      </c>
      <c r="J676" s="150" t="s">
        <v>76</v>
      </c>
      <c r="K676" s="166">
        <v>164.9</v>
      </c>
      <c r="L676" s="166">
        <f t="shared" ref="L676:L677" si="137">M676-K676</f>
        <v>0</v>
      </c>
      <c r="M676" s="166">
        <v>164.9</v>
      </c>
    </row>
    <row r="677" spans="1:13" s="392" customFormat="1" ht="37.5" customHeight="1">
      <c r="A677" s="151"/>
      <c r="B677" s="164" t="s">
        <v>141</v>
      </c>
      <c r="C677" s="165" t="s">
        <v>338</v>
      </c>
      <c r="D677" s="150" t="s">
        <v>125</v>
      </c>
      <c r="E677" s="150" t="s">
        <v>72</v>
      </c>
      <c r="F677" s="744" t="s">
        <v>100</v>
      </c>
      <c r="G677" s="745" t="s">
        <v>65</v>
      </c>
      <c r="H677" s="745" t="s">
        <v>57</v>
      </c>
      <c r="I677" s="746" t="s">
        <v>341</v>
      </c>
      <c r="J677" s="150" t="s">
        <v>142</v>
      </c>
      <c r="K677" s="166">
        <v>32817.1</v>
      </c>
      <c r="L677" s="166">
        <f t="shared" si="137"/>
        <v>0</v>
      </c>
      <c r="M677" s="166">
        <v>32817.1</v>
      </c>
    </row>
    <row r="678" spans="1:13" s="392" customFormat="1" ht="95.25" customHeight="1">
      <c r="A678" s="151"/>
      <c r="B678" s="164" t="s">
        <v>441</v>
      </c>
      <c r="C678" s="165" t="s">
        <v>338</v>
      </c>
      <c r="D678" s="150" t="s">
        <v>125</v>
      </c>
      <c r="E678" s="150" t="s">
        <v>72</v>
      </c>
      <c r="F678" s="744" t="s">
        <v>100</v>
      </c>
      <c r="G678" s="745" t="s">
        <v>65</v>
      </c>
      <c r="H678" s="745" t="s">
        <v>57</v>
      </c>
      <c r="I678" s="746" t="s">
        <v>342</v>
      </c>
      <c r="J678" s="150"/>
      <c r="K678" s="166">
        <f>SUM(K679:K680)</f>
        <v>25619.1</v>
      </c>
      <c r="L678" s="166">
        <f>SUM(L679:L680)</f>
        <v>0</v>
      </c>
      <c r="M678" s="166">
        <f>SUM(M679:M680)</f>
        <v>25619.1</v>
      </c>
    </row>
    <row r="679" spans="1:13" s="392" customFormat="1" ht="56.25" customHeight="1">
      <c r="A679" s="151"/>
      <c r="B679" s="164" t="s">
        <v>75</v>
      </c>
      <c r="C679" s="165" t="s">
        <v>338</v>
      </c>
      <c r="D679" s="150" t="s">
        <v>125</v>
      </c>
      <c r="E679" s="150" t="s">
        <v>72</v>
      </c>
      <c r="F679" s="744" t="s">
        <v>100</v>
      </c>
      <c r="G679" s="745" t="s">
        <v>65</v>
      </c>
      <c r="H679" s="745" t="s">
        <v>57</v>
      </c>
      <c r="I679" s="746" t="s">
        <v>342</v>
      </c>
      <c r="J679" s="150" t="s">
        <v>76</v>
      </c>
      <c r="K679" s="166">
        <v>128.1</v>
      </c>
      <c r="L679" s="166">
        <f t="shared" ref="L679:L680" si="138">M679-K679</f>
        <v>0</v>
      </c>
      <c r="M679" s="166">
        <v>128.1</v>
      </c>
    </row>
    <row r="680" spans="1:13" s="392" customFormat="1" ht="37.5" customHeight="1">
      <c r="A680" s="151"/>
      <c r="B680" s="164" t="s">
        <v>141</v>
      </c>
      <c r="C680" s="165" t="s">
        <v>338</v>
      </c>
      <c r="D680" s="150" t="s">
        <v>125</v>
      </c>
      <c r="E680" s="150" t="s">
        <v>72</v>
      </c>
      <c r="F680" s="744" t="s">
        <v>100</v>
      </c>
      <c r="G680" s="745" t="s">
        <v>65</v>
      </c>
      <c r="H680" s="745" t="s">
        <v>57</v>
      </c>
      <c r="I680" s="746" t="s">
        <v>342</v>
      </c>
      <c r="J680" s="150" t="s">
        <v>142</v>
      </c>
      <c r="K680" s="166">
        <v>25491</v>
      </c>
      <c r="L680" s="166">
        <f t="shared" si="138"/>
        <v>0</v>
      </c>
      <c r="M680" s="166">
        <v>25491</v>
      </c>
    </row>
    <row r="681" spans="1:13" s="392" customFormat="1" ht="95.25" customHeight="1">
      <c r="A681" s="151"/>
      <c r="B681" s="164" t="s">
        <v>442</v>
      </c>
      <c r="C681" s="165" t="s">
        <v>338</v>
      </c>
      <c r="D681" s="150" t="s">
        <v>125</v>
      </c>
      <c r="E681" s="150" t="s">
        <v>72</v>
      </c>
      <c r="F681" s="744" t="s">
        <v>100</v>
      </c>
      <c r="G681" s="745" t="s">
        <v>65</v>
      </c>
      <c r="H681" s="745" t="s">
        <v>57</v>
      </c>
      <c r="I681" s="746" t="s">
        <v>343</v>
      </c>
      <c r="J681" s="150"/>
      <c r="K681" s="166">
        <f>SUM(K682:K683)</f>
        <v>243.2</v>
      </c>
      <c r="L681" s="166">
        <f>SUM(L682:L683)</f>
        <v>0</v>
      </c>
      <c r="M681" s="166">
        <f>SUM(M682:M683)</f>
        <v>243.2</v>
      </c>
    </row>
    <row r="682" spans="1:13" s="392" customFormat="1" ht="56.25" customHeight="1">
      <c r="A682" s="151"/>
      <c r="B682" s="164" t="s">
        <v>75</v>
      </c>
      <c r="C682" s="165" t="s">
        <v>338</v>
      </c>
      <c r="D682" s="150" t="s">
        <v>125</v>
      </c>
      <c r="E682" s="150" t="s">
        <v>72</v>
      </c>
      <c r="F682" s="744" t="s">
        <v>100</v>
      </c>
      <c r="G682" s="745" t="s">
        <v>65</v>
      </c>
      <c r="H682" s="745" t="s">
        <v>57</v>
      </c>
      <c r="I682" s="746" t="s">
        <v>343</v>
      </c>
      <c r="J682" s="150" t="s">
        <v>76</v>
      </c>
      <c r="K682" s="166">
        <v>1.2</v>
      </c>
      <c r="L682" s="166">
        <f t="shared" ref="L682:L683" si="139">M682-K682</f>
        <v>0</v>
      </c>
      <c r="M682" s="166">
        <v>1.2</v>
      </c>
    </row>
    <row r="683" spans="1:13" s="392" customFormat="1" ht="34.5" customHeight="1">
      <c r="A683" s="151"/>
      <c r="B683" s="164" t="s">
        <v>141</v>
      </c>
      <c r="C683" s="165" t="s">
        <v>338</v>
      </c>
      <c r="D683" s="150" t="s">
        <v>125</v>
      </c>
      <c r="E683" s="150" t="s">
        <v>72</v>
      </c>
      <c r="F683" s="744" t="s">
        <v>100</v>
      </c>
      <c r="G683" s="745" t="s">
        <v>65</v>
      </c>
      <c r="H683" s="745" t="s">
        <v>57</v>
      </c>
      <c r="I683" s="746" t="s">
        <v>343</v>
      </c>
      <c r="J683" s="150" t="s">
        <v>142</v>
      </c>
      <c r="K683" s="166">
        <f>242</f>
        <v>242</v>
      </c>
      <c r="L683" s="166">
        <f t="shared" si="139"/>
        <v>0</v>
      </c>
      <c r="M683" s="166">
        <f>242</f>
        <v>242</v>
      </c>
    </row>
    <row r="684" spans="1:13" s="392" customFormat="1" ht="113.25" customHeight="1">
      <c r="A684" s="151"/>
      <c r="B684" s="164" t="s">
        <v>448</v>
      </c>
      <c r="C684" s="165" t="s">
        <v>338</v>
      </c>
      <c r="D684" s="150" t="s">
        <v>125</v>
      </c>
      <c r="E684" s="150" t="s">
        <v>72</v>
      </c>
      <c r="F684" s="744" t="s">
        <v>100</v>
      </c>
      <c r="G684" s="745" t="s">
        <v>65</v>
      </c>
      <c r="H684" s="745" t="s">
        <v>57</v>
      </c>
      <c r="I684" s="746" t="s">
        <v>344</v>
      </c>
      <c r="J684" s="150"/>
      <c r="K684" s="166">
        <f>SUM(K685:K686)</f>
        <v>346.7</v>
      </c>
      <c r="L684" s="166">
        <f>SUM(L685:L686)</f>
        <v>0</v>
      </c>
      <c r="M684" s="166">
        <f>SUM(M685:M686)</f>
        <v>346.7</v>
      </c>
    </row>
    <row r="685" spans="1:13" s="392" customFormat="1" ht="56.25" customHeight="1">
      <c r="A685" s="151"/>
      <c r="B685" s="164" t="s">
        <v>75</v>
      </c>
      <c r="C685" s="165" t="s">
        <v>338</v>
      </c>
      <c r="D685" s="150" t="s">
        <v>125</v>
      </c>
      <c r="E685" s="150" t="s">
        <v>72</v>
      </c>
      <c r="F685" s="744" t="s">
        <v>100</v>
      </c>
      <c r="G685" s="745" t="s">
        <v>65</v>
      </c>
      <c r="H685" s="745" t="s">
        <v>57</v>
      </c>
      <c r="I685" s="746" t="s">
        <v>344</v>
      </c>
      <c r="J685" s="150" t="s">
        <v>76</v>
      </c>
      <c r="K685" s="166">
        <v>1.7</v>
      </c>
      <c r="L685" s="166">
        <f t="shared" ref="L685:L689" si="140">M685-K685</f>
        <v>0</v>
      </c>
      <c r="M685" s="166">
        <v>1.7</v>
      </c>
    </row>
    <row r="686" spans="1:13" s="392" customFormat="1" ht="37.5" customHeight="1">
      <c r="A686" s="151"/>
      <c r="B686" s="164" t="s">
        <v>141</v>
      </c>
      <c r="C686" s="165" t="s">
        <v>338</v>
      </c>
      <c r="D686" s="150" t="s">
        <v>125</v>
      </c>
      <c r="E686" s="150" t="s">
        <v>72</v>
      </c>
      <c r="F686" s="744" t="s">
        <v>100</v>
      </c>
      <c r="G686" s="745" t="s">
        <v>65</v>
      </c>
      <c r="H686" s="745" t="s">
        <v>57</v>
      </c>
      <c r="I686" s="746" t="s">
        <v>344</v>
      </c>
      <c r="J686" s="150" t="s">
        <v>142</v>
      </c>
      <c r="K686" s="166">
        <f>346.7-1.7</f>
        <v>345</v>
      </c>
      <c r="L686" s="166">
        <f t="shared" si="140"/>
        <v>0</v>
      </c>
      <c r="M686" s="166">
        <f>346.7-1.7</f>
        <v>345</v>
      </c>
    </row>
    <row r="687" spans="1:13" s="392" customFormat="1" ht="93.75">
      <c r="A687" s="151"/>
      <c r="B687" s="766" t="s">
        <v>352</v>
      </c>
      <c r="C687" s="767" t="s">
        <v>338</v>
      </c>
      <c r="D687" s="768" t="s">
        <v>125</v>
      </c>
      <c r="E687" s="768" t="s">
        <v>72</v>
      </c>
      <c r="F687" s="769" t="s">
        <v>100</v>
      </c>
      <c r="G687" s="770" t="s">
        <v>65</v>
      </c>
      <c r="H687" s="770" t="s">
        <v>59</v>
      </c>
      <c r="I687" s="771" t="s">
        <v>64</v>
      </c>
      <c r="J687" s="768"/>
      <c r="K687" s="764"/>
      <c r="L687" s="764">
        <f t="shared" si="140"/>
        <v>5.2</v>
      </c>
      <c r="M687" s="764">
        <f>M688</f>
        <v>5.2</v>
      </c>
    </row>
    <row r="688" spans="1:13" s="392" customFormat="1" ht="18.75">
      <c r="A688" s="151"/>
      <c r="B688" s="766" t="s">
        <v>1006</v>
      </c>
      <c r="C688" s="767" t="s">
        <v>338</v>
      </c>
      <c r="D688" s="768" t="s">
        <v>125</v>
      </c>
      <c r="E688" s="768" t="s">
        <v>72</v>
      </c>
      <c r="F688" s="769" t="s">
        <v>100</v>
      </c>
      <c r="G688" s="770" t="s">
        <v>65</v>
      </c>
      <c r="H688" s="770" t="s">
        <v>59</v>
      </c>
      <c r="I688" s="771" t="s">
        <v>1005</v>
      </c>
      <c r="J688" s="768"/>
      <c r="K688" s="764"/>
      <c r="L688" s="764">
        <f t="shared" si="140"/>
        <v>5.2</v>
      </c>
      <c r="M688" s="764">
        <f>M689</f>
        <v>5.2</v>
      </c>
    </row>
    <row r="689" spans="1:13" s="392" customFormat="1" ht="37.5" customHeight="1">
      <c r="A689" s="151"/>
      <c r="B689" s="766" t="s">
        <v>141</v>
      </c>
      <c r="C689" s="767" t="s">
        <v>338</v>
      </c>
      <c r="D689" s="768" t="s">
        <v>125</v>
      </c>
      <c r="E689" s="768" t="s">
        <v>72</v>
      </c>
      <c r="F689" s="769" t="s">
        <v>100</v>
      </c>
      <c r="G689" s="770" t="s">
        <v>65</v>
      </c>
      <c r="H689" s="770" t="s">
        <v>59</v>
      </c>
      <c r="I689" s="771" t="s">
        <v>1005</v>
      </c>
      <c r="J689" s="768" t="s">
        <v>142</v>
      </c>
      <c r="K689" s="764"/>
      <c r="L689" s="764">
        <f t="shared" si="140"/>
        <v>5.2</v>
      </c>
      <c r="M689" s="764">
        <v>5.2</v>
      </c>
    </row>
    <row r="690" spans="1:13" s="147" customFormat="1" ht="37.5">
      <c r="A690" s="151"/>
      <c r="B690" s="164" t="s">
        <v>345</v>
      </c>
      <c r="C690" s="165" t="s">
        <v>338</v>
      </c>
      <c r="D690" s="150" t="s">
        <v>125</v>
      </c>
      <c r="E690" s="150" t="s">
        <v>102</v>
      </c>
      <c r="F690" s="744"/>
      <c r="G690" s="745"/>
      <c r="H690" s="745"/>
      <c r="I690" s="746"/>
      <c r="J690" s="150"/>
      <c r="K690" s="166">
        <f t="shared" ref="K690:M692" si="141">K691</f>
        <v>7591.7</v>
      </c>
      <c r="L690" s="166">
        <f t="shared" si="141"/>
        <v>0</v>
      </c>
      <c r="M690" s="166">
        <f t="shared" si="141"/>
        <v>7591.7</v>
      </c>
    </row>
    <row r="691" spans="1:13" s="147" customFormat="1" ht="56.25" customHeight="1">
      <c r="A691" s="151"/>
      <c r="B691" s="168" t="s">
        <v>252</v>
      </c>
      <c r="C691" s="165" t="s">
        <v>338</v>
      </c>
      <c r="D691" s="150" t="s">
        <v>125</v>
      </c>
      <c r="E691" s="150" t="s">
        <v>102</v>
      </c>
      <c r="F691" s="744" t="s">
        <v>100</v>
      </c>
      <c r="G691" s="745" t="s">
        <v>62</v>
      </c>
      <c r="H691" s="745" t="s">
        <v>63</v>
      </c>
      <c r="I691" s="746" t="s">
        <v>64</v>
      </c>
      <c r="J691" s="150"/>
      <c r="K691" s="166">
        <f t="shared" si="141"/>
        <v>7591.7</v>
      </c>
      <c r="L691" s="166">
        <f t="shared" si="141"/>
        <v>0</v>
      </c>
      <c r="M691" s="166">
        <f t="shared" si="141"/>
        <v>7591.7</v>
      </c>
    </row>
    <row r="692" spans="1:13" s="147" customFormat="1" ht="33.75" customHeight="1">
      <c r="A692" s="151"/>
      <c r="B692" s="164" t="s">
        <v>404</v>
      </c>
      <c r="C692" s="165" t="s">
        <v>338</v>
      </c>
      <c r="D692" s="150" t="s">
        <v>125</v>
      </c>
      <c r="E692" s="150" t="s">
        <v>102</v>
      </c>
      <c r="F692" s="744" t="s">
        <v>100</v>
      </c>
      <c r="G692" s="745" t="s">
        <v>65</v>
      </c>
      <c r="H692" s="745" t="s">
        <v>63</v>
      </c>
      <c r="I692" s="746" t="s">
        <v>64</v>
      </c>
      <c r="J692" s="150"/>
      <c r="K692" s="166">
        <f t="shared" si="141"/>
        <v>7591.7</v>
      </c>
      <c r="L692" s="166">
        <f t="shared" si="141"/>
        <v>0</v>
      </c>
      <c r="M692" s="166">
        <f t="shared" si="141"/>
        <v>7591.7</v>
      </c>
    </row>
    <row r="693" spans="1:13" s="392" customFormat="1" ht="37.5" customHeight="1">
      <c r="A693" s="151"/>
      <c r="B693" s="164" t="s">
        <v>251</v>
      </c>
      <c r="C693" s="165" t="s">
        <v>338</v>
      </c>
      <c r="D693" s="150" t="s">
        <v>125</v>
      </c>
      <c r="E693" s="150" t="s">
        <v>102</v>
      </c>
      <c r="F693" s="744" t="s">
        <v>100</v>
      </c>
      <c r="G693" s="745" t="s">
        <v>65</v>
      </c>
      <c r="H693" s="745" t="s">
        <v>84</v>
      </c>
      <c r="I693" s="746" t="s">
        <v>64</v>
      </c>
      <c r="J693" s="150"/>
      <c r="K693" s="166">
        <f>K694+K697+K700</f>
        <v>7591.7</v>
      </c>
      <c r="L693" s="166">
        <f>L694+L697+L700</f>
        <v>0</v>
      </c>
      <c r="M693" s="166">
        <f>M694+M697+M700</f>
        <v>7591.7</v>
      </c>
    </row>
    <row r="694" spans="1:13" s="392" customFormat="1" ht="77.25" customHeight="1">
      <c r="A694" s="151"/>
      <c r="B694" s="164" t="s">
        <v>253</v>
      </c>
      <c r="C694" s="165" t="s">
        <v>338</v>
      </c>
      <c r="D694" s="150" t="s">
        <v>125</v>
      </c>
      <c r="E694" s="150" t="s">
        <v>102</v>
      </c>
      <c r="F694" s="744" t="s">
        <v>100</v>
      </c>
      <c r="G694" s="745" t="s">
        <v>65</v>
      </c>
      <c r="H694" s="745" t="s">
        <v>84</v>
      </c>
      <c r="I694" s="746" t="s">
        <v>346</v>
      </c>
      <c r="J694" s="150"/>
      <c r="K694" s="166">
        <f>K695+K696</f>
        <v>6084</v>
      </c>
      <c r="L694" s="166">
        <f>L695+L696</f>
        <v>0</v>
      </c>
      <c r="M694" s="166">
        <f>M695+M696</f>
        <v>6084</v>
      </c>
    </row>
    <row r="695" spans="1:13" s="392" customFormat="1" ht="112.5" customHeight="1">
      <c r="A695" s="151"/>
      <c r="B695" s="164" t="s">
        <v>69</v>
      </c>
      <c r="C695" s="165" t="s">
        <v>338</v>
      </c>
      <c r="D695" s="150" t="s">
        <v>125</v>
      </c>
      <c r="E695" s="150" t="s">
        <v>102</v>
      </c>
      <c r="F695" s="744" t="s">
        <v>100</v>
      </c>
      <c r="G695" s="745" t="s">
        <v>65</v>
      </c>
      <c r="H695" s="745" t="s">
        <v>84</v>
      </c>
      <c r="I695" s="746" t="s">
        <v>346</v>
      </c>
      <c r="J695" s="150" t="s">
        <v>70</v>
      </c>
      <c r="K695" s="166">
        <v>5725.5</v>
      </c>
      <c r="L695" s="166">
        <f t="shared" ref="L695:L696" si="142">M695-K695</f>
        <v>0</v>
      </c>
      <c r="M695" s="166">
        <v>5725.5</v>
      </c>
    </row>
    <row r="696" spans="1:13" s="392" customFormat="1" ht="56.25" customHeight="1">
      <c r="A696" s="151"/>
      <c r="B696" s="164" t="s">
        <v>75</v>
      </c>
      <c r="C696" s="165" t="s">
        <v>338</v>
      </c>
      <c r="D696" s="150" t="s">
        <v>125</v>
      </c>
      <c r="E696" s="150" t="s">
        <v>102</v>
      </c>
      <c r="F696" s="365" t="s">
        <v>100</v>
      </c>
      <c r="G696" s="366" t="s">
        <v>65</v>
      </c>
      <c r="H696" s="366" t="s">
        <v>84</v>
      </c>
      <c r="I696" s="367" t="s">
        <v>346</v>
      </c>
      <c r="J696" s="150" t="s">
        <v>76</v>
      </c>
      <c r="K696" s="166">
        <v>358.5</v>
      </c>
      <c r="L696" s="166">
        <f t="shared" si="142"/>
        <v>0</v>
      </c>
      <c r="M696" s="166">
        <v>358.5</v>
      </c>
    </row>
    <row r="697" spans="1:13" s="392" customFormat="1" ht="113.25" customHeight="1">
      <c r="A697" s="151"/>
      <c r="B697" s="164" t="s">
        <v>794</v>
      </c>
      <c r="C697" s="165" t="s">
        <v>338</v>
      </c>
      <c r="D697" s="150" t="s">
        <v>125</v>
      </c>
      <c r="E697" s="150" t="s">
        <v>102</v>
      </c>
      <c r="F697" s="744" t="s">
        <v>100</v>
      </c>
      <c r="G697" s="745" t="s">
        <v>65</v>
      </c>
      <c r="H697" s="745" t="s">
        <v>84</v>
      </c>
      <c r="I697" s="746" t="s">
        <v>347</v>
      </c>
      <c r="J697" s="150"/>
      <c r="K697" s="166">
        <f>K698+K699</f>
        <v>636.69999999999993</v>
      </c>
      <c r="L697" s="166">
        <f>L698+L699</f>
        <v>0</v>
      </c>
      <c r="M697" s="166">
        <f>M698+M699</f>
        <v>636.69999999999993</v>
      </c>
    </row>
    <row r="698" spans="1:13" s="392" customFormat="1" ht="112.5" customHeight="1">
      <c r="A698" s="151"/>
      <c r="B698" s="164" t="s">
        <v>69</v>
      </c>
      <c r="C698" s="165" t="s">
        <v>338</v>
      </c>
      <c r="D698" s="150" t="s">
        <v>125</v>
      </c>
      <c r="E698" s="150" t="s">
        <v>102</v>
      </c>
      <c r="F698" s="744" t="s">
        <v>100</v>
      </c>
      <c r="G698" s="745" t="s">
        <v>65</v>
      </c>
      <c r="H698" s="745" t="s">
        <v>84</v>
      </c>
      <c r="I698" s="746" t="s">
        <v>347</v>
      </c>
      <c r="J698" s="150" t="s">
        <v>70</v>
      </c>
      <c r="K698" s="166">
        <v>607.29999999999995</v>
      </c>
      <c r="L698" s="166">
        <f t="shared" ref="L698:L699" si="143">M698-K698</f>
        <v>0</v>
      </c>
      <c r="M698" s="166">
        <v>607.29999999999995</v>
      </c>
    </row>
    <row r="699" spans="1:13" s="392" customFormat="1" ht="56.25" customHeight="1">
      <c r="A699" s="151"/>
      <c r="B699" s="164" t="s">
        <v>75</v>
      </c>
      <c r="C699" s="165" t="s">
        <v>338</v>
      </c>
      <c r="D699" s="150" t="s">
        <v>125</v>
      </c>
      <c r="E699" s="150" t="s">
        <v>102</v>
      </c>
      <c r="F699" s="744" t="s">
        <v>100</v>
      </c>
      <c r="G699" s="745" t="s">
        <v>65</v>
      </c>
      <c r="H699" s="745" t="s">
        <v>84</v>
      </c>
      <c r="I699" s="746" t="s">
        <v>347</v>
      </c>
      <c r="J699" s="150" t="s">
        <v>76</v>
      </c>
      <c r="K699" s="166">
        <f>35-5.6</f>
        <v>29.4</v>
      </c>
      <c r="L699" s="166">
        <f t="shared" si="143"/>
        <v>0</v>
      </c>
      <c r="M699" s="166">
        <f>35-5.6</f>
        <v>29.4</v>
      </c>
    </row>
    <row r="700" spans="1:13" s="392" customFormat="1" ht="265.5" customHeight="1">
      <c r="A700" s="151"/>
      <c r="B700" s="477" t="s">
        <v>254</v>
      </c>
      <c r="C700" s="165" t="s">
        <v>338</v>
      </c>
      <c r="D700" s="150" t="s">
        <v>125</v>
      </c>
      <c r="E700" s="150" t="s">
        <v>102</v>
      </c>
      <c r="F700" s="744" t="s">
        <v>100</v>
      </c>
      <c r="G700" s="745" t="s">
        <v>65</v>
      </c>
      <c r="H700" s="745" t="s">
        <v>84</v>
      </c>
      <c r="I700" s="746" t="s">
        <v>348</v>
      </c>
      <c r="J700" s="150"/>
      <c r="K700" s="166">
        <f>K701+K702</f>
        <v>871</v>
      </c>
      <c r="L700" s="166">
        <f>L701+L702</f>
        <v>0</v>
      </c>
      <c r="M700" s="166">
        <f>M701+M702</f>
        <v>871</v>
      </c>
    </row>
    <row r="701" spans="1:13" s="392" customFormat="1" ht="112.5" customHeight="1">
      <c r="A701" s="151"/>
      <c r="B701" s="164" t="s">
        <v>69</v>
      </c>
      <c r="C701" s="165" t="s">
        <v>338</v>
      </c>
      <c r="D701" s="150" t="s">
        <v>125</v>
      </c>
      <c r="E701" s="150" t="s">
        <v>102</v>
      </c>
      <c r="F701" s="744" t="s">
        <v>100</v>
      </c>
      <c r="G701" s="745" t="s">
        <v>65</v>
      </c>
      <c r="H701" s="745" t="s">
        <v>84</v>
      </c>
      <c r="I701" s="746" t="s">
        <v>348</v>
      </c>
      <c r="J701" s="150" t="s">
        <v>70</v>
      </c>
      <c r="K701" s="166">
        <v>808.2</v>
      </c>
      <c r="L701" s="166">
        <f t="shared" ref="L701:L702" si="144">M701-K701</f>
        <v>0</v>
      </c>
      <c r="M701" s="166">
        <v>808.2</v>
      </c>
    </row>
    <row r="702" spans="1:13" s="392" customFormat="1" ht="56.25" customHeight="1">
      <c r="A702" s="151"/>
      <c r="B702" s="164" t="s">
        <v>75</v>
      </c>
      <c r="C702" s="165" t="s">
        <v>338</v>
      </c>
      <c r="D702" s="150" t="s">
        <v>125</v>
      </c>
      <c r="E702" s="150" t="s">
        <v>102</v>
      </c>
      <c r="F702" s="744" t="s">
        <v>100</v>
      </c>
      <c r="G702" s="745" t="s">
        <v>65</v>
      </c>
      <c r="H702" s="745" t="s">
        <v>84</v>
      </c>
      <c r="I702" s="746" t="s">
        <v>348</v>
      </c>
      <c r="J702" s="150" t="s">
        <v>76</v>
      </c>
      <c r="K702" s="166">
        <f>70-7.2</f>
        <v>62.8</v>
      </c>
      <c r="L702" s="166">
        <f t="shared" si="144"/>
        <v>0</v>
      </c>
      <c r="M702" s="166">
        <f>70-7.2</f>
        <v>62.8</v>
      </c>
    </row>
    <row r="703" spans="1:13" s="392" customFormat="1" ht="25.5" customHeight="1">
      <c r="A703" s="478"/>
      <c r="B703" s="371"/>
      <c r="C703" s="479"/>
      <c r="D703" s="372"/>
      <c r="E703" s="372"/>
      <c r="F703" s="372"/>
      <c r="G703" s="372"/>
      <c r="H703" s="372"/>
      <c r="I703" s="372"/>
      <c r="J703" s="372"/>
      <c r="K703" s="372"/>
      <c r="L703" s="372"/>
      <c r="M703" s="480"/>
    </row>
    <row r="704" spans="1:13" s="392" customFormat="1" ht="20.25" customHeight="1">
      <c r="A704" s="478"/>
      <c r="B704" s="371"/>
      <c r="C704" s="479"/>
      <c r="D704" s="372"/>
      <c r="E704" s="372"/>
      <c r="F704" s="372"/>
      <c r="G704" s="372"/>
      <c r="H704" s="372"/>
      <c r="I704" s="372"/>
      <c r="J704" s="372"/>
      <c r="K704" s="372"/>
      <c r="L704" s="372"/>
      <c r="M704" s="480"/>
    </row>
    <row r="705" spans="1:14" s="280" customFormat="1" ht="18.75" customHeight="1">
      <c r="A705" s="375" t="s">
        <v>467</v>
      </c>
      <c r="B705" s="283"/>
      <c r="C705" s="284"/>
      <c r="D705" s="284"/>
      <c r="E705" s="284"/>
      <c r="F705" s="207"/>
      <c r="G705" s="374"/>
      <c r="H705" s="435"/>
    </row>
    <row r="706" spans="1:14" s="280" customFormat="1" ht="18.75" customHeight="1">
      <c r="A706" s="375" t="s">
        <v>468</v>
      </c>
      <c r="B706" s="283"/>
      <c r="C706" s="284"/>
      <c r="D706" s="284"/>
      <c r="E706" s="284"/>
      <c r="F706" s="207"/>
      <c r="G706" s="374"/>
      <c r="H706" s="435"/>
    </row>
    <row r="707" spans="1:14" s="280" customFormat="1" ht="18.75" customHeight="1">
      <c r="A707" s="376" t="s">
        <v>469</v>
      </c>
      <c r="B707" s="283"/>
      <c r="E707" s="284"/>
      <c r="F707" s="207"/>
      <c r="M707" s="377" t="s">
        <v>494</v>
      </c>
    </row>
    <row r="708" spans="1:14" s="481" customFormat="1" ht="18.75" customHeight="1">
      <c r="A708" s="478"/>
      <c r="B708" s="371"/>
      <c r="C708" s="479"/>
      <c r="D708" s="372"/>
      <c r="E708" s="372"/>
      <c r="F708" s="372"/>
      <c r="G708" s="372"/>
      <c r="H708" s="372"/>
      <c r="I708" s="372"/>
      <c r="J708" s="372"/>
      <c r="K708" s="372"/>
      <c r="L708" s="372"/>
      <c r="M708" s="480"/>
    </row>
    <row r="709" spans="1:14" s="481" customFormat="1" ht="18.75" customHeight="1">
      <c r="A709" s="478"/>
      <c r="B709" s="371"/>
      <c r="C709" s="479"/>
      <c r="D709" s="372"/>
      <c r="E709" s="372"/>
      <c r="F709" s="372"/>
      <c r="G709" s="372"/>
      <c r="H709" s="372"/>
      <c r="I709" s="372"/>
      <c r="J709" s="372"/>
      <c r="K709" s="372"/>
      <c r="L709" s="372"/>
      <c r="M709" s="480"/>
    </row>
    <row r="710" spans="1:14" s="481" customFormat="1" ht="18.75" customHeight="1">
      <c r="A710" s="478"/>
      <c r="B710" s="371"/>
      <c r="C710" s="479"/>
      <c r="D710" s="372"/>
      <c r="E710" s="372"/>
      <c r="F710" s="372"/>
      <c r="G710" s="372"/>
      <c r="H710" s="372"/>
      <c r="I710" s="372"/>
      <c r="J710" s="372"/>
      <c r="K710" s="372"/>
      <c r="L710" s="372"/>
      <c r="M710" s="480"/>
    </row>
    <row r="711" spans="1:14" s="481" customFormat="1" ht="18.75" customHeight="1">
      <c r="A711" s="478"/>
      <c r="B711" s="371"/>
      <c r="C711" s="479"/>
      <c r="D711" s="181" t="s">
        <v>57</v>
      </c>
      <c r="E711" s="181" t="s">
        <v>59</v>
      </c>
      <c r="F711" s="182"/>
      <c r="G711" s="182"/>
      <c r="H711" s="182"/>
      <c r="I711" s="182"/>
      <c r="J711" s="182"/>
      <c r="K711" s="182"/>
      <c r="L711" s="182"/>
      <c r="M711" s="560">
        <f>M17</f>
        <v>2067.1</v>
      </c>
      <c r="N711" s="482"/>
    </row>
    <row r="712" spans="1:14" s="481" customFormat="1" ht="18.75" customHeight="1">
      <c r="A712" s="478"/>
      <c r="B712" s="371"/>
      <c r="C712" s="479"/>
      <c r="D712" s="181" t="s">
        <v>57</v>
      </c>
      <c r="E712" s="181" t="s">
        <v>72</v>
      </c>
      <c r="F712" s="182"/>
      <c r="G712" s="182"/>
      <c r="H712" s="182"/>
      <c r="I712" s="182"/>
      <c r="J712" s="182"/>
      <c r="K712" s="182"/>
      <c r="L712" s="182"/>
      <c r="M712" s="560">
        <f>M23</f>
        <v>71364.330999999991</v>
      </c>
      <c r="N712" s="482"/>
    </row>
    <row r="713" spans="1:14" s="481" customFormat="1" ht="18.75" customHeight="1">
      <c r="A713" s="478"/>
      <c r="B713" s="371"/>
      <c r="C713" s="479"/>
      <c r="D713" s="181" t="s">
        <v>57</v>
      </c>
      <c r="E713" s="181" t="s">
        <v>86</v>
      </c>
      <c r="F713" s="182"/>
      <c r="G713" s="182"/>
      <c r="H713" s="182"/>
      <c r="I713" s="182"/>
      <c r="J713" s="182"/>
      <c r="K713" s="182"/>
      <c r="L713" s="182"/>
      <c r="M713" s="560">
        <f>M46</f>
        <v>13.2</v>
      </c>
      <c r="N713" s="482"/>
    </row>
    <row r="714" spans="1:14" s="481" customFormat="1" ht="18.75" customHeight="1">
      <c r="A714" s="478"/>
      <c r="B714" s="371"/>
      <c r="C714" s="479"/>
      <c r="D714" s="181" t="s">
        <v>57</v>
      </c>
      <c r="E714" s="181" t="s">
        <v>102</v>
      </c>
      <c r="F714" s="182"/>
      <c r="G714" s="182"/>
      <c r="H714" s="182"/>
      <c r="I714" s="182"/>
      <c r="J714" s="182"/>
      <c r="K714" s="182"/>
      <c r="L714" s="182"/>
      <c r="M714" s="560">
        <f>M229+M265</f>
        <v>29306.215999999997</v>
      </c>
      <c r="N714" s="482"/>
    </row>
    <row r="715" spans="1:14" s="481" customFormat="1" ht="18.75" customHeight="1">
      <c r="A715" s="478"/>
      <c r="B715" s="371"/>
      <c r="C715" s="479"/>
      <c r="D715" s="181" t="s">
        <v>57</v>
      </c>
      <c r="E715" s="181" t="s">
        <v>88</v>
      </c>
      <c r="F715" s="182"/>
      <c r="G715" s="182"/>
      <c r="H715" s="182"/>
      <c r="I715" s="182"/>
      <c r="J715" s="182"/>
      <c r="K715" s="182"/>
      <c r="L715" s="182"/>
      <c r="M715" s="560">
        <f>M52</f>
        <v>7566.8879999999999</v>
      </c>
      <c r="N715" s="482"/>
    </row>
    <row r="716" spans="1:14" s="481" customFormat="1" ht="18.75" customHeight="1">
      <c r="A716" s="478"/>
      <c r="B716" s="371"/>
      <c r="C716" s="479"/>
      <c r="D716" s="181" t="s">
        <v>57</v>
      </c>
      <c r="E716" s="181" t="s">
        <v>92</v>
      </c>
      <c r="F716" s="182"/>
      <c r="G716" s="182"/>
      <c r="H716" s="182"/>
      <c r="I716" s="182"/>
      <c r="J716" s="182"/>
      <c r="K716" s="182"/>
      <c r="L716" s="182"/>
      <c r="M716" s="560">
        <f>M57+M240+M277+M630+M509+M581+M357</f>
        <v>50370.099999999991</v>
      </c>
      <c r="N716" s="482"/>
    </row>
    <row r="717" spans="1:14" ht="18.75" customHeight="1">
      <c r="D717" s="439" t="s">
        <v>57</v>
      </c>
      <c r="E717" s="439" t="s">
        <v>63</v>
      </c>
      <c r="F717" s="182"/>
      <c r="G717" s="182"/>
      <c r="H717" s="182"/>
      <c r="I717" s="182"/>
      <c r="J717" s="182"/>
      <c r="K717" s="182"/>
      <c r="L717" s="182"/>
      <c r="M717" s="561">
        <f>SUBTOTAL(9,M711:M716)</f>
        <v>160687.83499999999</v>
      </c>
      <c r="N717" s="483"/>
    </row>
    <row r="718" spans="1:14" ht="18.75" customHeight="1">
      <c r="D718" s="181"/>
      <c r="E718" s="181"/>
      <c r="F718" s="182"/>
      <c r="G718" s="182"/>
      <c r="H718" s="182"/>
      <c r="I718" s="182"/>
      <c r="J718" s="182"/>
      <c r="K718" s="182"/>
      <c r="L718" s="182"/>
      <c r="M718" s="560"/>
      <c r="N718" s="482"/>
    </row>
    <row r="719" spans="1:14" ht="18.75" customHeight="1">
      <c r="D719" s="181" t="s">
        <v>84</v>
      </c>
      <c r="E719" s="181" t="s">
        <v>125</v>
      </c>
      <c r="F719" s="182"/>
      <c r="G719" s="182"/>
      <c r="H719" s="182"/>
      <c r="I719" s="182"/>
      <c r="J719" s="182"/>
      <c r="K719" s="182"/>
      <c r="L719" s="182"/>
      <c r="M719" s="560">
        <f>M87</f>
        <v>4033.3</v>
      </c>
      <c r="N719" s="482"/>
    </row>
    <row r="720" spans="1:14" ht="18.75" customHeight="1">
      <c r="D720" s="181" t="s">
        <v>84</v>
      </c>
      <c r="E720" s="181" t="s">
        <v>109</v>
      </c>
      <c r="F720" s="182"/>
      <c r="G720" s="182"/>
      <c r="H720" s="182"/>
      <c r="I720" s="182"/>
      <c r="J720" s="182"/>
      <c r="K720" s="182"/>
      <c r="L720" s="182"/>
      <c r="M720" s="560">
        <f>M99</f>
        <v>11020.9</v>
      </c>
      <c r="N720" s="482"/>
    </row>
    <row r="721" spans="4:14" ht="18.75" customHeight="1">
      <c r="D721" s="439" t="s">
        <v>84</v>
      </c>
      <c r="E721" s="439" t="s">
        <v>63</v>
      </c>
      <c r="F721" s="182"/>
      <c r="G721" s="182"/>
      <c r="H721" s="182"/>
      <c r="I721" s="182"/>
      <c r="J721" s="182"/>
      <c r="K721" s="182"/>
      <c r="L721" s="182"/>
      <c r="M721" s="561">
        <f>SUBTOTAL(9,M719:M720)</f>
        <v>15054.2</v>
      </c>
      <c r="N721" s="483"/>
    </row>
    <row r="722" spans="4:14" ht="18.75" customHeight="1">
      <c r="D722" s="181"/>
      <c r="E722" s="181"/>
      <c r="F722" s="182"/>
      <c r="G722" s="182"/>
      <c r="H722" s="182"/>
      <c r="I722" s="182"/>
      <c r="J722" s="182"/>
      <c r="K722" s="182"/>
      <c r="L722" s="182"/>
      <c r="M722" s="560"/>
      <c r="N722" s="482"/>
    </row>
    <row r="723" spans="4:14" ht="18.75" customHeight="1">
      <c r="D723" s="181" t="s">
        <v>72</v>
      </c>
      <c r="E723" s="181" t="s">
        <v>86</v>
      </c>
      <c r="F723" s="182"/>
      <c r="G723" s="182"/>
      <c r="H723" s="182"/>
      <c r="I723" s="182"/>
      <c r="J723" s="182"/>
      <c r="K723" s="182"/>
      <c r="L723" s="182"/>
      <c r="M723" s="560">
        <f>M124</f>
        <v>11258.5</v>
      </c>
      <c r="N723" s="482"/>
    </row>
    <row r="724" spans="4:14" ht="18.75" customHeight="1">
      <c r="D724" s="181" t="s">
        <v>72</v>
      </c>
      <c r="E724" s="181" t="s">
        <v>100</v>
      </c>
      <c r="F724" s="182"/>
      <c r="G724" s="182"/>
      <c r="H724" s="182"/>
      <c r="I724" s="182"/>
      <c r="J724" s="182"/>
      <c r="K724" s="182"/>
      <c r="L724" s="182"/>
      <c r="M724" s="560">
        <f>M133</f>
        <v>9802.3829999999998</v>
      </c>
      <c r="N724" s="482"/>
    </row>
    <row r="725" spans="4:14" ht="18.75" customHeight="1">
      <c r="D725" s="181" t="s">
        <v>72</v>
      </c>
      <c r="E725" s="181" t="s">
        <v>121</v>
      </c>
      <c r="F725" s="182"/>
      <c r="G725" s="182"/>
      <c r="H725" s="182"/>
      <c r="I725" s="182"/>
      <c r="J725" s="182"/>
      <c r="K725" s="182"/>
      <c r="L725" s="182"/>
      <c r="M725" s="560">
        <f>M139+M317</f>
        <v>9502.7999999999993</v>
      </c>
      <c r="N725" s="482"/>
    </row>
    <row r="726" spans="4:14" ht="18.75" customHeight="1">
      <c r="D726" s="439" t="s">
        <v>72</v>
      </c>
      <c r="E726" s="439" t="s">
        <v>63</v>
      </c>
      <c r="F726" s="182"/>
      <c r="G726" s="182"/>
      <c r="H726" s="182"/>
      <c r="I726" s="182"/>
      <c r="J726" s="182"/>
      <c r="K726" s="182"/>
      <c r="L726" s="182"/>
      <c r="M726" s="561">
        <f>SUBTOTAL(9,M723:M725)</f>
        <v>30563.683000000001</v>
      </c>
      <c r="N726" s="483"/>
    </row>
    <row r="727" spans="4:14" ht="18.75" customHeight="1">
      <c r="D727" s="181"/>
      <c r="E727" s="181"/>
      <c r="F727" s="182"/>
      <c r="G727" s="182"/>
      <c r="H727" s="182"/>
      <c r="I727" s="182"/>
      <c r="J727" s="182"/>
      <c r="K727" s="182"/>
      <c r="L727" s="182"/>
      <c r="M727" s="560"/>
      <c r="N727" s="482"/>
    </row>
    <row r="728" spans="4:14" ht="18.75" customHeight="1">
      <c r="D728" s="181" t="s">
        <v>86</v>
      </c>
      <c r="E728" s="181" t="s">
        <v>57</v>
      </c>
      <c r="F728" s="182"/>
      <c r="G728" s="182"/>
      <c r="H728" s="182"/>
      <c r="I728" s="182"/>
      <c r="J728" s="182"/>
      <c r="K728" s="182"/>
      <c r="L728" s="182"/>
      <c r="M728" s="560"/>
      <c r="N728" s="482"/>
    </row>
    <row r="729" spans="4:14" ht="18.75" customHeight="1">
      <c r="D729" s="181" t="s">
        <v>86</v>
      </c>
      <c r="E729" s="181" t="s">
        <v>59</v>
      </c>
      <c r="F729" s="182"/>
      <c r="G729" s="182"/>
      <c r="H729" s="182"/>
      <c r="I729" s="182"/>
      <c r="J729" s="182"/>
      <c r="K729" s="182"/>
      <c r="L729" s="182"/>
      <c r="M729" s="560">
        <f>M324</f>
        <v>16440.5</v>
      </c>
      <c r="N729" s="482"/>
    </row>
    <row r="730" spans="4:14" ht="18.75" customHeight="1">
      <c r="D730" s="181" t="s">
        <v>86</v>
      </c>
      <c r="E730" s="181" t="s">
        <v>86</v>
      </c>
      <c r="F730" s="182"/>
      <c r="G730" s="182"/>
      <c r="H730" s="182"/>
      <c r="I730" s="182"/>
      <c r="J730" s="182"/>
      <c r="K730" s="182"/>
      <c r="L730" s="182"/>
      <c r="M730" s="560"/>
      <c r="N730" s="482"/>
    </row>
    <row r="731" spans="4:14" ht="18.75" customHeight="1">
      <c r="D731" s="181" t="s">
        <v>86</v>
      </c>
      <c r="E731" s="181" t="s">
        <v>84</v>
      </c>
      <c r="F731" s="182"/>
      <c r="G731" s="182"/>
      <c r="H731" s="182"/>
      <c r="I731" s="182"/>
      <c r="J731" s="182"/>
      <c r="K731" s="182"/>
      <c r="L731" s="719"/>
      <c r="M731" s="560">
        <f>M165</f>
        <v>1163.5999999999999</v>
      </c>
      <c r="N731" s="482"/>
    </row>
    <row r="732" spans="4:14" ht="18.75" customHeight="1">
      <c r="D732" s="439" t="s">
        <v>86</v>
      </c>
      <c r="E732" s="439" t="s">
        <v>63</v>
      </c>
      <c r="F732" s="182"/>
      <c r="G732" s="182"/>
      <c r="H732" s="182"/>
      <c r="I732" s="182"/>
      <c r="J732" s="182"/>
      <c r="K732" s="182"/>
      <c r="L732" s="182"/>
      <c r="M732" s="561">
        <f>SUBTOTAL(9,M728:M731)</f>
        <v>17604.099999999999</v>
      </c>
      <c r="N732" s="483"/>
    </row>
    <row r="733" spans="4:14" ht="18.75" customHeight="1">
      <c r="D733" s="181"/>
      <c r="E733" s="181"/>
      <c r="F733" s="182"/>
      <c r="G733" s="182"/>
      <c r="H733" s="182"/>
      <c r="I733" s="182"/>
      <c r="J733" s="182"/>
      <c r="K733" s="182"/>
      <c r="L733" s="182"/>
      <c r="M733" s="560"/>
      <c r="N733" s="482"/>
    </row>
    <row r="734" spans="4:14" ht="18.75" customHeight="1">
      <c r="D734" s="181" t="s">
        <v>246</v>
      </c>
      <c r="E734" s="181" t="s">
        <v>57</v>
      </c>
      <c r="F734" s="182"/>
      <c r="G734" s="182"/>
      <c r="H734" s="182"/>
      <c r="I734" s="182"/>
      <c r="J734" s="182"/>
      <c r="K734" s="182"/>
      <c r="L734" s="182"/>
      <c r="M734" s="560">
        <f>M370+M333</f>
        <v>324648.69999999995</v>
      </c>
      <c r="N734" s="482"/>
    </row>
    <row r="735" spans="4:14" ht="18.75" customHeight="1">
      <c r="D735" s="181" t="s">
        <v>246</v>
      </c>
      <c r="E735" s="181" t="s">
        <v>59</v>
      </c>
      <c r="F735" s="182"/>
      <c r="G735" s="182"/>
      <c r="H735" s="182"/>
      <c r="I735" s="182"/>
      <c r="J735" s="182"/>
      <c r="K735" s="182"/>
      <c r="L735" s="182"/>
      <c r="M735" s="560">
        <f>M339+M394</f>
        <v>612717.70000000007</v>
      </c>
      <c r="N735" s="482"/>
    </row>
    <row r="736" spans="4:14" ht="18.75" customHeight="1">
      <c r="D736" s="181" t="s">
        <v>246</v>
      </c>
      <c r="E736" s="181" t="s">
        <v>84</v>
      </c>
      <c r="F736" s="182"/>
      <c r="G736" s="182"/>
      <c r="H736" s="182"/>
      <c r="I736" s="182"/>
      <c r="J736" s="182"/>
      <c r="K736" s="182"/>
      <c r="L736" s="182"/>
      <c r="M736" s="560">
        <f>M442+M516</f>
        <v>115089.088</v>
      </c>
      <c r="N736" s="482"/>
    </row>
    <row r="737" spans="4:14" ht="18.75" customHeight="1">
      <c r="D737" s="181" t="s">
        <v>246</v>
      </c>
      <c r="E737" s="181" t="s">
        <v>86</v>
      </c>
      <c r="F737" s="182"/>
      <c r="G737" s="182"/>
      <c r="H737" s="182"/>
      <c r="I737" s="182"/>
      <c r="J737" s="182"/>
      <c r="K737" s="182"/>
      <c r="L737" s="182"/>
      <c r="M737" s="560"/>
      <c r="N737" s="482"/>
    </row>
    <row r="738" spans="4:14" ht="18.75" customHeight="1">
      <c r="D738" s="181" t="s">
        <v>246</v>
      </c>
      <c r="E738" s="181" t="s">
        <v>246</v>
      </c>
      <c r="F738" s="182"/>
      <c r="G738" s="182"/>
      <c r="H738" s="182"/>
      <c r="I738" s="182"/>
      <c r="J738" s="182"/>
      <c r="K738" s="182"/>
      <c r="L738" s="182"/>
      <c r="M738" s="560">
        <f>M643+M664+M526+M466</f>
        <v>11507.699999999999</v>
      </c>
      <c r="N738" s="482"/>
    </row>
    <row r="739" spans="4:14" ht="18.75" customHeight="1">
      <c r="D739" s="181" t="s">
        <v>246</v>
      </c>
      <c r="E739" s="181" t="s">
        <v>100</v>
      </c>
      <c r="F739" s="182"/>
      <c r="G739" s="182"/>
      <c r="H739" s="182"/>
      <c r="I739" s="182"/>
      <c r="J739" s="182"/>
      <c r="K739" s="182"/>
      <c r="L739" s="182"/>
      <c r="M739" s="560">
        <f>M474+M532+M653</f>
        <v>65539.772000000012</v>
      </c>
      <c r="N739" s="482"/>
    </row>
    <row r="740" spans="4:14" ht="18.75" customHeight="1">
      <c r="D740" s="439" t="s">
        <v>246</v>
      </c>
      <c r="E740" s="439" t="s">
        <v>63</v>
      </c>
      <c r="F740" s="182"/>
      <c r="G740" s="182"/>
      <c r="H740" s="182"/>
      <c r="I740" s="182"/>
      <c r="J740" s="182"/>
      <c r="K740" s="182"/>
      <c r="L740" s="182"/>
      <c r="M740" s="561">
        <f>SUBTOTAL(9,M734:M739)</f>
        <v>1129502.9600000002</v>
      </c>
      <c r="N740" s="483"/>
    </row>
    <row r="741" spans="4:14" ht="18.75" customHeight="1">
      <c r="D741" s="181"/>
      <c r="E741" s="181"/>
      <c r="F741" s="182"/>
      <c r="G741" s="182"/>
      <c r="H741" s="182"/>
      <c r="I741" s="182"/>
      <c r="J741" s="182"/>
      <c r="K741" s="182"/>
      <c r="L741" s="182"/>
      <c r="M741" s="560"/>
      <c r="N741" s="482"/>
    </row>
    <row r="742" spans="4:14" ht="18.75" customHeight="1">
      <c r="D742" s="181" t="s">
        <v>248</v>
      </c>
      <c r="E742" s="181" t="s">
        <v>57</v>
      </c>
      <c r="F742" s="182"/>
      <c r="G742" s="182"/>
      <c r="H742" s="182"/>
      <c r="I742" s="182"/>
      <c r="J742" s="182"/>
      <c r="K742" s="182"/>
      <c r="L742" s="182"/>
      <c r="M742" s="560">
        <f>M539</f>
        <v>24731.300000000003</v>
      </c>
      <c r="N742" s="482"/>
    </row>
    <row r="743" spans="4:14" ht="18.75" customHeight="1">
      <c r="D743" s="181" t="s">
        <v>248</v>
      </c>
      <c r="E743" s="181" t="s">
        <v>72</v>
      </c>
      <c r="F743" s="182"/>
      <c r="G743" s="182"/>
      <c r="H743" s="182"/>
      <c r="I743" s="182"/>
      <c r="J743" s="182"/>
      <c r="K743" s="182"/>
      <c r="L743" s="182"/>
      <c r="M743" s="560">
        <f>M560</f>
        <v>10247.299999999999</v>
      </c>
      <c r="N743" s="482"/>
    </row>
    <row r="744" spans="4:14" ht="18.75" customHeight="1">
      <c r="D744" s="439" t="s">
        <v>248</v>
      </c>
      <c r="E744" s="439" t="s">
        <v>63</v>
      </c>
      <c r="F744" s="182"/>
      <c r="G744" s="182"/>
      <c r="H744" s="182"/>
      <c r="I744" s="182"/>
      <c r="J744" s="182"/>
      <c r="K744" s="182"/>
      <c r="L744" s="182"/>
      <c r="M744" s="561">
        <f>SUBTOTAL(9,M742:M743)</f>
        <v>34978.600000000006</v>
      </c>
      <c r="N744" s="483"/>
    </row>
    <row r="745" spans="4:14" ht="18.75" customHeight="1">
      <c r="D745" s="181"/>
      <c r="E745" s="181"/>
      <c r="F745" s="182"/>
      <c r="G745" s="182"/>
      <c r="H745" s="182"/>
      <c r="I745" s="182"/>
      <c r="J745" s="182"/>
      <c r="K745" s="182"/>
      <c r="L745" s="182"/>
      <c r="M745" s="560"/>
      <c r="N745" s="482"/>
    </row>
    <row r="746" spans="4:14" ht="18.75" customHeight="1">
      <c r="D746" s="181" t="s">
        <v>125</v>
      </c>
      <c r="E746" s="181" t="s">
        <v>57</v>
      </c>
      <c r="F746" s="182"/>
      <c r="G746" s="182"/>
      <c r="H746" s="182"/>
      <c r="I746" s="182"/>
      <c r="J746" s="182"/>
      <c r="K746" s="182"/>
      <c r="L746" s="182"/>
      <c r="M746" s="560">
        <f>M172</f>
        <v>552</v>
      </c>
      <c r="N746" s="482"/>
    </row>
    <row r="747" spans="4:14" ht="18.75" customHeight="1">
      <c r="D747" s="181" t="s">
        <v>125</v>
      </c>
      <c r="E747" s="181" t="s">
        <v>84</v>
      </c>
      <c r="F747" s="182"/>
      <c r="G747" s="182"/>
      <c r="H747" s="182"/>
      <c r="I747" s="182"/>
      <c r="J747" s="182"/>
      <c r="K747" s="182"/>
      <c r="L747" s="725"/>
      <c r="M747" s="560">
        <f>M178</f>
        <v>1060</v>
      </c>
      <c r="N747" s="482"/>
    </row>
    <row r="748" spans="4:14" ht="18.75" customHeight="1">
      <c r="D748" s="181" t="s">
        <v>125</v>
      </c>
      <c r="E748" s="181" t="s">
        <v>72</v>
      </c>
      <c r="F748" s="182"/>
      <c r="G748" s="182"/>
      <c r="H748" s="182"/>
      <c r="I748" s="182"/>
      <c r="J748" s="182"/>
      <c r="K748" s="182"/>
      <c r="L748" s="182"/>
      <c r="M748" s="560">
        <f>M346+M499+M671</f>
        <v>119803.19999999998</v>
      </c>
      <c r="N748" s="482"/>
    </row>
    <row r="749" spans="4:14" ht="18.75" customHeight="1">
      <c r="D749" s="181" t="s">
        <v>125</v>
      </c>
      <c r="E749" s="181" t="s">
        <v>102</v>
      </c>
      <c r="F749" s="182"/>
      <c r="G749" s="182"/>
      <c r="H749" s="182"/>
      <c r="I749" s="182"/>
      <c r="J749" s="182"/>
      <c r="K749" s="182"/>
      <c r="L749" s="182"/>
      <c r="M749" s="560">
        <f>M191+M690</f>
        <v>8520.4</v>
      </c>
      <c r="N749" s="482"/>
    </row>
    <row r="750" spans="4:14" ht="18.75" customHeight="1">
      <c r="D750" s="439" t="s">
        <v>125</v>
      </c>
      <c r="E750" s="439" t="s">
        <v>63</v>
      </c>
      <c r="F750" s="182"/>
      <c r="G750" s="182"/>
      <c r="H750" s="182"/>
      <c r="I750" s="182"/>
      <c r="J750" s="182"/>
      <c r="K750" s="182"/>
      <c r="L750" s="182"/>
      <c r="M750" s="561">
        <f>SUBTOTAL(9,M746:M749)</f>
        <v>129935.59999999998</v>
      </c>
      <c r="N750" s="483"/>
    </row>
    <row r="751" spans="4:14" ht="18.75" customHeight="1">
      <c r="D751" s="181"/>
      <c r="E751" s="181"/>
      <c r="F751" s="182"/>
      <c r="G751" s="182"/>
      <c r="H751" s="182"/>
      <c r="I751" s="182"/>
      <c r="J751" s="182"/>
      <c r="K751" s="182"/>
      <c r="L751" s="182"/>
      <c r="M751" s="560"/>
      <c r="N751" s="482"/>
    </row>
    <row r="752" spans="4:14" ht="18.75" customHeight="1">
      <c r="D752" s="181" t="s">
        <v>88</v>
      </c>
      <c r="E752" s="181" t="s">
        <v>57</v>
      </c>
      <c r="F752" s="182"/>
      <c r="G752" s="182"/>
      <c r="H752" s="182"/>
      <c r="I752" s="182"/>
      <c r="J752" s="182"/>
      <c r="K752" s="182"/>
      <c r="L752" s="182"/>
      <c r="M752" s="560">
        <f>M588</f>
        <v>36092.1</v>
      </c>
      <c r="N752" s="482"/>
    </row>
    <row r="753" spans="2:14" ht="18.75" customHeight="1">
      <c r="D753" s="181" t="s">
        <v>88</v>
      </c>
      <c r="E753" s="181" t="s">
        <v>59</v>
      </c>
      <c r="F753" s="182"/>
      <c r="G753" s="182"/>
      <c r="H753" s="182"/>
      <c r="I753" s="182"/>
      <c r="J753" s="182"/>
      <c r="K753" s="182"/>
      <c r="L753" s="182"/>
      <c r="M753" s="560">
        <f>M612</f>
        <v>597.09999999999991</v>
      </c>
      <c r="N753" s="482"/>
    </row>
    <row r="754" spans="2:14" ht="18.75" customHeight="1">
      <c r="D754" s="181" t="s">
        <v>88</v>
      </c>
      <c r="E754" s="181" t="s">
        <v>86</v>
      </c>
      <c r="F754" s="182"/>
      <c r="G754" s="182"/>
      <c r="H754" s="182"/>
      <c r="I754" s="182"/>
      <c r="J754" s="182"/>
      <c r="K754" s="182"/>
      <c r="L754" s="182"/>
      <c r="M754" s="560">
        <f>M619</f>
        <v>2425.3000000000002</v>
      </c>
      <c r="N754" s="482"/>
    </row>
    <row r="755" spans="2:14" ht="18.75" customHeight="1">
      <c r="D755" s="439" t="s">
        <v>88</v>
      </c>
      <c r="E755" s="439" t="s">
        <v>63</v>
      </c>
      <c r="F755" s="182"/>
      <c r="G755" s="182"/>
      <c r="H755" s="182"/>
      <c r="I755" s="182"/>
      <c r="J755" s="182"/>
      <c r="K755" s="182"/>
      <c r="L755" s="182"/>
      <c r="M755" s="561">
        <f>SUBTOTAL(9,M752:M754)</f>
        <v>39114.5</v>
      </c>
      <c r="N755" s="483"/>
    </row>
    <row r="756" spans="2:14" ht="18.75" customHeight="1">
      <c r="D756" s="181"/>
      <c r="E756" s="181"/>
      <c r="F756" s="182"/>
      <c r="G756" s="182"/>
      <c r="H756" s="182"/>
      <c r="I756" s="182"/>
      <c r="J756" s="182"/>
      <c r="K756" s="182"/>
      <c r="L756" s="182"/>
      <c r="M756" s="560"/>
      <c r="N756" s="482"/>
    </row>
    <row r="757" spans="2:14" ht="18.75" customHeight="1">
      <c r="D757" s="181" t="s">
        <v>92</v>
      </c>
      <c r="E757" s="181" t="s">
        <v>57</v>
      </c>
      <c r="F757" s="182"/>
      <c r="G757" s="182"/>
      <c r="H757" s="182"/>
      <c r="I757" s="182"/>
      <c r="J757" s="182"/>
      <c r="K757" s="182"/>
      <c r="L757" s="182"/>
      <c r="M757" s="560">
        <f>M198</f>
        <v>16.5</v>
      </c>
      <c r="N757" s="482"/>
    </row>
    <row r="758" spans="2:14" ht="18.75" customHeight="1">
      <c r="D758" s="439" t="s">
        <v>92</v>
      </c>
      <c r="E758" s="439" t="s">
        <v>63</v>
      </c>
      <c r="F758" s="182"/>
      <c r="G758" s="182"/>
      <c r="H758" s="182"/>
      <c r="I758" s="182"/>
      <c r="J758" s="182"/>
      <c r="K758" s="182"/>
      <c r="L758" s="182"/>
      <c r="M758" s="561">
        <f>M757</f>
        <v>16.5</v>
      </c>
      <c r="N758" s="483"/>
    </row>
    <row r="759" spans="2:14" ht="18.75" customHeight="1">
      <c r="D759" s="181"/>
      <c r="E759" s="181"/>
      <c r="F759" s="182"/>
      <c r="G759" s="182"/>
      <c r="H759" s="182"/>
      <c r="I759" s="182"/>
      <c r="J759" s="182"/>
      <c r="K759" s="182"/>
      <c r="L759" s="182"/>
      <c r="M759" s="560"/>
      <c r="N759" s="482"/>
    </row>
    <row r="760" spans="2:14" ht="18.75" customHeight="1">
      <c r="D760" s="181" t="s">
        <v>109</v>
      </c>
      <c r="E760" s="181" t="s">
        <v>57</v>
      </c>
      <c r="F760" s="182"/>
      <c r="G760" s="182"/>
      <c r="H760" s="182"/>
      <c r="I760" s="182"/>
      <c r="J760" s="182"/>
      <c r="K760" s="182"/>
      <c r="L760" s="182"/>
      <c r="M760" s="560">
        <f>M250</f>
        <v>5500</v>
      </c>
      <c r="N760" s="482"/>
    </row>
    <row r="761" spans="2:14" ht="18.75" customHeight="1">
      <c r="D761" s="181" t="s">
        <v>109</v>
      </c>
      <c r="E761" s="181" t="s">
        <v>59</v>
      </c>
      <c r="F761" s="182"/>
      <c r="G761" s="182"/>
      <c r="H761" s="182"/>
      <c r="I761" s="182"/>
      <c r="J761" s="182"/>
      <c r="K761" s="182"/>
      <c r="L761" s="182"/>
      <c r="M761" s="560"/>
      <c r="N761" s="482"/>
    </row>
    <row r="762" spans="2:14" ht="18.75" customHeight="1">
      <c r="D762" s="181" t="s">
        <v>109</v>
      </c>
      <c r="E762" s="181" t="s">
        <v>84</v>
      </c>
      <c r="F762" s="182"/>
      <c r="G762" s="182"/>
      <c r="H762" s="182"/>
      <c r="I762" s="182"/>
      <c r="J762" s="182"/>
      <c r="K762" s="182"/>
      <c r="L762" s="182"/>
      <c r="M762" s="560">
        <f>M205+M261</f>
        <v>31446.412</v>
      </c>
      <c r="N762" s="482"/>
    </row>
    <row r="763" spans="2:14" ht="18.75" customHeight="1">
      <c r="D763" s="439" t="s">
        <v>109</v>
      </c>
      <c r="E763" s="439" t="s">
        <v>63</v>
      </c>
      <c r="F763" s="182"/>
      <c r="G763" s="182"/>
      <c r="H763" s="182"/>
      <c r="I763" s="182"/>
      <c r="J763" s="182"/>
      <c r="K763" s="182"/>
      <c r="L763" s="182"/>
      <c r="M763" s="561">
        <f t="shared" ref="M763" si="145">SUBTOTAL(9,M760:M762)</f>
        <v>36946.411999999997</v>
      </c>
      <c r="N763" s="483"/>
    </row>
    <row r="764" spans="2:14" ht="18.75" customHeight="1">
      <c r="D764" s="269"/>
      <c r="E764" s="181"/>
      <c r="F764" s="182"/>
      <c r="G764" s="182"/>
      <c r="H764" s="182"/>
      <c r="I764" s="182"/>
      <c r="J764" s="182"/>
      <c r="K764" s="182"/>
      <c r="L764" s="182"/>
      <c r="M764" s="562">
        <f>M717+M721+M726+M732+M740+M744+M750+M755+M758+M763</f>
        <v>1594404.3900000001</v>
      </c>
      <c r="N764" s="272"/>
    </row>
    <row r="765" spans="2:14" ht="18.75" customHeight="1">
      <c r="D765" s="270"/>
      <c r="E765" s="270"/>
      <c r="F765" s="192"/>
      <c r="G765" s="192"/>
      <c r="H765" s="192"/>
      <c r="I765" s="192"/>
      <c r="J765" s="192"/>
      <c r="K765" s="192"/>
      <c r="L765" s="192"/>
      <c r="M765" s="271"/>
      <c r="N765" s="272"/>
    </row>
    <row r="766" spans="2:14" ht="18.75" customHeight="1">
      <c r="B766" s="141" t="s">
        <v>452</v>
      </c>
      <c r="D766" s="270"/>
      <c r="E766" s="270"/>
      <c r="F766" s="192"/>
      <c r="G766" s="192"/>
      <c r="H766" s="192"/>
      <c r="I766" s="192"/>
      <c r="J766" s="192"/>
      <c r="K766" s="192"/>
      <c r="L766" s="192"/>
      <c r="M766" s="271"/>
      <c r="N766" s="272"/>
    </row>
    <row r="767" spans="2:14" ht="18.75" customHeight="1">
      <c r="B767" s="141" t="s">
        <v>451</v>
      </c>
      <c r="D767" s="270"/>
      <c r="E767" s="270"/>
      <c r="F767" s="192"/>
      <c r="G767" s="192"/>
      <c r="H767" s="192"/>
      <c r="I767" s="192"/>
      <c r="J767" s="192"/>
      <c r="K767" s="192"/>
      <c r="L767" s="192"/>
      <c r="M767" s="271"/>
      <c r="N767" s="272"/>
    </row>
    <row r="768" spans="2:14" ht="18.75" customHeight="1">
      <c r="D768" s="270"/>
      <c r="E768" s="270"/>
      <c r="F768" s="192"/>
      <c r="G768" s="192"/>
      <c r="H768" s="192"/>
      <c r="I768" s="192"/>
      <c r="J768" s="192"/>
      <c r="K768" s="192"/>
      <c r="L768" s="192"/>
      <c r="M768" s="273"/>
      <c r="N768" s="272"/>
    </row>
    <row r="769" spans="4:14" ht="18.75" customHeight="1">
      <c r="D769" s="270"/>
      <c r="E769" s="270"/>
      <c r="F769" s="192"/>
      <c r="G769" s="192"/>
      <c r="H769" s="192"/>
      <c r="I769" s="192"/>
      <c r="J769" s="192"/>
      <c r="K769" s="192"/>
      <c r="L769" s="192"/>
      <c r="M769" s="274"/>
      <c r="N769" s="272"/>
    </row>
    <row r="770" spans="4:14" ht="15" customHeight="1">
      <c r="D770" s="272"/>
      <c r="E770" s="272"/>
      <c r="F770" s="272"/>
      <c r="G770" s="272"/>
      <c r="H770" s="272"/>
      <c r="I770" s="272"/>
      <c r="J770" s="272"/>
      <c r="K770" s="272"/>
      <c r="L770" s="272"/>
      <c r="M770" s="274"/>
      <c r="N770" s="272"/>
    </row>
    <row r="771" spans="4:14" ht="15" customHeight="1">
      <c r="D771" s="272"/>
      <c r="E771" s="272"/>
      <c r="F771" s="272"/>
      <c r="G771" s="272"/>
      <c r="H771" s="272"/>
      <c r="I771" s="272"/>
      <c r="J771" s="272"/>
      <c r="K771" s="272"/>
      <c r="L771" s="272"/>
      <c r="M771" s="274"/>
      <c r="N771" s="272"/>
    </row>
    <row r="772" spans="4:14" ht="15" customHeight="1">
      <c r="D772" s="272"/>
      <c r="E772" s="272"/>
      <c r="F772" s="272"/>
      <c r="G772" s="272"/>
      <c r="H772" s="272"/>
      <c r="I772" s="272"/>
      <c r="J772" s="272"/>
      <c r="K772" s="272"/>
      <c r="L772" s="272"/>
      <c r="M772" s="274"/>
      <c r="N772" s="272"/>
    </row>
    <row r="773" spans="4:14" ht="15" customHeight="1">
      <c r="D773" s="272"/>
      <c r="E773" s="272"/>
      <c r="F773" s="272"/>
      <c r="G773" s="272"/>
      <c r="H773" s="272"/>
      <c r="I773" s="272"/>
      <c r="J773" s="272"/>
      <c r="K773" s="272"/>
      <c r="L773" s="272"/>
      <c r="M773" s="274"/>
      <c r="N773" s="272"/>
    </row>
    <row r="774" spans="4:14" ht="15" customHeight="1">
      <c r="D774" s="272"/>
      <c r="E774" s="272"/>
      <c r="F774" s="272"/>
      <c r="G774" s="272"/>
      <c r="H774" s="272"/>
      <c r="I774" s="272"/>
      <c r="J774" s="272"/>
      <c r="K774" s="272"/>
      <c r="L774" s="272"/>
      <c r="M774" s="274"/>
      <c r="N774" s="272"/>
    </row>
    <row r="775" spans="4:14" ht="15" customHeight="1">
      <c r="D775" s="272"/>
      <c r="E775" s="272"/>
      <c r="F775" s="272"/>
      <c r="G775" s="272"/>
      <c r="H775" s="272"/>
      <c r="I775" s="272"/>
      <c r="J775" s="272"/>
      <c r="K775" s="272"/>
      <c r="L775" s="272"/>
      <c r="M775" s="274"/>
      <c r="N775" s="272"/>
    </row>
    <row r="776" spans="4:14" ht="15" customHeight="1">
      <c r="D776" s="272"/>
      <c r="E776" s="272"/>
      <c r="F776" s="272"/>
      <c r="G776" s="272"/>
      <c r="H776" s="272"/>
      <c r="I776" s="272"/>
      <c r="J776" s="272"/>
      <c r="K776" s="272"/>
      <c r="L776" s="272"/>
      <c r="M776" s="274"/>
      <c r="N776" s="272"/>
    </row>
    <row r="777" spans="4:14" ht="15" customHeight="1">
      <c r="D777" s="272"/>
      <c r="E777" s="272"/>
      <c r="F777" s="272"/>
      <c r="G777" s="272"/>
      <c r="H777" s="272"/>
      <c r="I777" s="272"/>
      <c r="J777" s="272"/>
      <c r="K777" s="272"/>
      <c r="L777" s="272"/>
      <c r="M777" s="274"/>
      <c r="N777" s="272"/>
    </row>
    <row r="778" spans="4:14" ht="15" customHeight="1">
      <c r="D778" s="272"/>
      <c r="E778" s="272"/>
      <c r="F778" s="272"/>
      <c r="G778" s="272"/>
      <c r="H778" s="272"/>
      <c r="I778" s="272"/>
      <c r="J778" s="272"/>
      <c r="K778" s="272"/>
      <c r="L778" s="272"/>
      <c r="M778" s="274"/>
      <c r="N778" s="272"/>
    </row>
    <row r="779" spans="4:14" ht="15" customHeight="1">
      <c r="D779" s="272"/>
      <c r="E779" s="272"/>
      <c r="F779" s="272"/>
      <c r="G779" s="272"/>
      <c r="H779" s="272"/>
      <c r="I779" s="272"/>
      <c r="J779" s="272"/>
      <c r="K779" s="272"/>
      <c r="L779" s="272"/>
      <c r="M779" s="274"/>
      <c r="N779" s="272"/>
    </row>
    <row r="780" spans="4:14" ht="15" customHeight="1">
      <c r="D780" s="272"/>
      <c r="E780" s="272"/>
      <c r="F780" s="272"/>
      <c r="G780" s="272"/>
      <c r="H780" s="272"/>
      <c r="I780" s="272"/>
      <c r="J780" s="272"/>
      <c r="K780" s="272"/>
      <c r="L780" s="272"/>
      <c r="M780" s="274"/>
      <c r="N780" s="272"/>
    </row>
    <row r="781" spans="4:14" ht="15" customHeight="1">
      <c r="D781" s="272"/>
      <c r="E781" s="272"/>
      <c r="F781" s="272"/>
      <c r="G781" s="272"/>
      <c r="H781" s="272"/>
      <c r="I781" s="272"/>
      <c r="J781" s="272"/>
      <c r="K781" s="272"/>
      <c r="L781" s="272"/>
      <c r="M781" s="274"/>
      <c r="N781" s="272"/>
    </row>
    <row r="782" spans="4:14" ht="15" customHeight="1">
      <c r="D782" s="272"/>
      <c r="E782" s="272"/>
      <c r="F782" s="272"/>
      <c r="G782" s="272"/>
      <c r="H782" s="272"/>
      <c r="I782" s="272"/>
      <c r="J782" s="272"/>
      <c r="K782" s="272"/>
      <c r="L782" s="272"/>
      <c r="M782" s="274"/>
      <c r="N782" s="272"/>
    </row>
    <row r="783" spans="4:14" ht="15" customHeight="1">
      <c r="D783" s="272"/>
      <c r="E783" s="272"/>
      <c r="F783" s="272"/>
      <c r="G783" s="272"/>
      <c r="H783" s="272"/>
      <c r="I783" s="272"/>
      <c r="J783" s="272"/>
      <c r="K783" s="272"/>
      <c r="L783" s="272"/>
      <c r="M783" s="274"/>
      <c r="N783" s="272"/>
    </row>
    <row r="784" spans="4:14" ht="15" customHeight="1">
      <c r="D784" s="272"/>
      <c r="E784" s="272"/>
      <c r="F784" s="272"/>
      <c r="G784" s="272"/>
      <c r="H784" s="272"/>
      <c r="I784" s="272"/>
      <c r="J784" s="272"/>
      <c r="K784" s="272"/>
      <c r="L784" s="272"/>
      <c r="M784" s="274"/>
      <c r="N784" s="272"/>
    </row>
    <row r="785" spans="4:14" ht="15" customHeight="1">
      <c r="D785" s="272"/>
      <c r="E785" s="272"/>
      <c r="F785" s="272"/>
      <c r="G785" s="272"/>
      <c r="H785" s="272"/>
      <c r="I785" s="272"/>
      <c r="J785" s="272"/>
      <c r="K785" s="272"/>
      <c r="L785" s="272"/>
      <c r="M785" s="274"/>
      <c r="N785" s="272"/>
    </row>
    <row r="786" spans="4:14" ht="15" customHeight="1">
      <c r="D786" s="272"/>
      <c r="E786" s="272"/>
      <c r="F786" s="272"/>
      <c r="G786" s="272"/>
      <c r="H786" s="272"/>
      <c r="I786" s="272"/>
      <c r="J786" s="272"/>
      <c r="K786" s="272"/>
      <c r="L786" s="272"/>
      <c r="M786" s="274"/>
      <c r="N786" s="272"/>
    </row>
    <row r="787" spans="4:14" ht="15" customHeight="1">
      <c r="D787" s="272"/>
      <c r="E787" s="272"/>
      <c r="F787" s="272"/>
      <c r="G787" s="272"/>
      <c r="H787" s="272"/>
      <c r="I787" s="272"/>
      <c r="J787" s="272"/>
      <c r="K787" s="272"/>
      <c r="L787" s="272"/>
      <c r="M787" s="274"/>
      <c r="N787" s="272"/>
    </row>
    <row r="788" spans="4:14" ht="15" customHeight="1">
      <c r="D788" s="272"/>
      <c r="E788" s="272"/>
      <c r="F788" s="272"/>
      <c r="G788" s="272"/>
      <c r="H788" s="272"/>
      <c r="I788" s="272"/>
      <c r="J788" s="272"/>
      <c r="K788" s="272"/>
      <c r="L788" s="272"/>
      <c r="M788" s="274"/>
      <c r="N788" s="272"/>
    </row>
    <row r="789" spans="4:14" ht="15" customHeight="1">
      <c r="D789" s="272"/>
      <c r="E789" s="272"/>
      <c r="F789" s="272"/>
      <c r="G789" s="272"/>
      <c r="H789" s="272"/>
      <c r="I789" s="272"/>
      <c r="J789" s="272"/>
      <c r="K789" s="272"/>
      <c r="L789" s="272"/>
      <c r="M789" s="274"/>
      <c r="N789" s="272"/>
    </row>
    <row r="790" spans="4:14" ht="15" customHeight="1">
      <c r="D790" s="272"/>
      <c r="E790" s="272"/>
      <c r="F790" s="272"/>
      <c r="G790" s="272"/>
      <c r="H790" s="272"/>
      <c r="I790" s="272"/>
      <c r="J790" s="272"/>
      <c r="K790" s="272"/>
      <c r="L790" s="272"/>
      <c r="M790" s="274"/>
      <c r="N790" s="272"/>
    </row>
    <row r="791" spans="4:14" ht="15" customHeight="1">
      <c r="D791" s="272"/>
      <c r="E791" s="272"/>
      <c r="F791" s="272"/>
      <c r="G791" s="272"/>
      <c r="H791" s="272"/>
      <c r="I791" s="272"/>
      <c r="J791" s="272"/>
      <c r="K791" s="272"/>
      <c r="L791" s="272"/>
      <c r="M791" s="274"/>
      <c r="N791" s="272"/>
    </row>
    <row r="792" spans="4:14" ht="15" customHeight="1">
      <c r="D792" s="272"/>
      <c r="E792" s="272"/>
      <c r="F792" s="272"/>
      <c r="G792" s="272"/>
      <c r="H792" s="272"/>
      <c r="I792" s="272"/>
      <c r="J792" s="272"/>
      <c r="K792" s="272"/>
      <c r="L792" s="272"/>
      <c r="M792" s="274"/>
      <c r="N792" s="272"/>
    </row>
    <row r="793" spans="4:14" ht="15" customHeight="1">
      <c r="D793" s="272"/>
      <c r="E793" s="272"/>
      <c r="F793" s="272"/>
      <c r="G793" s="272"/>
      <c r="H793" s="272"/>
      <c r="I793" s="272"/>
      <c r="J793" s="272"/>
      <c r="K793" s="272"/>
      <c r="L793" s="272"/>
      <c r="M793" s="274"/>
      <c r="N793" s="272"/>
    </row>
    <row r="794" spans="4:14" ht="15" customHeight="1">
      <c r="D794" s="272"/>
      <c r="E794" s="272"/>
      <c r="F794" s="272"/>
      <c r="G794" s="272"/>
      <c r="H794" s="272"/>
      <c r="I794" s="272"/>
      <c r="J794" s="272"/>
      <c r="K794" s="272"/>
      <c r="L794" s="272"/>
      <c r="M794" s="274"/>
      <c r="N794" s="272"/>
    </row>
    <row r="795" spans="4:14" ht="15" customHeight="1">
      <c r="D795" s="272"/>
      <c r="E795" s="272"/>
      <c r="F795" s="272"/>
      <c r="G795" s="272"/>
      <c r="H795" s="272"/>
      <c r="I795" s="272"/>
      <c r="J795" s="272"/>
      <c r="K795" s="272"/>
      <c r="L795" s="272"/>
      <c r="M795" s="274"/>
      <c r="N795" s="272"/>
    </row>
    <row r="796" spans="4:14" ht="15" customHeight="1">
      <c r="D796" s="272"/>
      <c r="E796" s="272"/>
      <c r="F796" s="272"/>
      <c r="G796" s="272"/>
      <c r="H796" s="272"/>
      <c r="I796" s="272"/>
      <c r="J796" s="272"/>
      <c r="K796" s="272"/>
      <c r="L796" s="272"/>
      <c r="M796" s="274"/>
      <c r="N796" s="272"/>
    </row>
    <row r="797" spans="4:14" ht="15" customHeight="1">
      <c r="D797" s="272"/>
      <c r="E797" s="272"/>
      <c r="F797" s="272"/>
      <c r="G797" s="272"/>
      <c r="H797" s="272"/>
      <c r="I797" s="272"/>
      <c r="J797" s="272"/>
      <c r="K797" s="272"/>
      <c r="L797" s="272"/>
      <c r="M797" s="274"/>
      <c r="N797" s="272"/>
    </row>
    <row r="798" spans="4:14" ht="15" customHeight="1">
      <c r="D798" s="272"/>
      <c r="E798" s="272"/>
      <c r="F798" s="272"/>
      <c r="G798" s="272"/>
      <c r="H798" s="272"/>
      <c r="I798" s="272"/>
      <c r="J798" s="272"/>
      <c r="K798" s="272"/>
      <c r="L798" s="272"/>
      <c r="M798" s="274"/>
      <c r="N798" s="272"/>
    </row>
    <row r="799" spans="4:14" ht="15" customHeight="1">
      <c r="D799" s="272"/>
      <c r="E799" s="272"/>
      <c r="F799" s="272"/>
      <c r="G799" s="272"/>
      <c r="H799" s="272"/>
      <c r="I799" s="272"/>
      <c r="J799" s="272"/>
      <c r="K799" s="272"/>
      <c r="L799" s="272"/>
      <c r="M799" s="274"/>
      <c r="N799" s="272"/>
    </row>
    <row r="800" spans="4:14" ht="15" customHeight="1">
      <c r="D800" s="272"/>
      <c r="E800" s="272"/>
      <c r="F800" s="272"/>
      <c r="G800" s="272"/>
      <c r="H800" s="272"/>
      <c r="I800" s="272"/>
      <c r="J800" s="272"/>
      <c r="K800" s="272"/>
      <c r="L800" s="272"/>
      <c r="M800" s="274"/>
      <c r="N800" s="272"/>
    </row>
    <row r="801" spans="4:14" ht="15" customHeight="1">
      <c r="D801" s="272"/>
      <c r="E801" s="272"/>
      <c r="F801" s="272"/>
      <c r="G801" s="272"/>
      <c r="H801" s="272"/>
      <c r="I801" s="272"/>
      <c r="J801" s="272"/>
      <c r="K801" s="272"/>
      <c r="L801" s="272"/>
      <c r="M801" s="274"/>
      <c r="N801" s="272"/>
    </row>
    <row r="802" spans="4:14" ht="15" customHeight="1">
      <c r="D802" s="272"/>
      <c r="E802" s="272"/>
      <c r="F802" s="272"/>
      <c r="G802" s="272"/>
      <c r="H802" s="272"/>
      <c r="I802" s="272"/>
      <c r="J802" s="272"/>
      <c r="K802" s="272"/>
      <c r="L802" s="272"/>
      <c r="M802" s="274"/>
      <c r="N802" s="272"/>
    </row>
    <row r="803" spans="4:14" ht="15" customHeight="1">
      <c r="D803" s="272"/>
      <c r="E803" s="272"/>
      <c r="F803" s="272"/>
      <c r="G803" s="272"/>
      <c r="H803" s="272"/>
      <c r="I803" s="272"/>
      <c r="J803" s="272"/>
      <c r="K803" s="272"/>
      <c r="L803" s="272"/>
      <c r="M803" s="274"/>
      <c r="N803" s="272"/>
    </row>
    <row r="804" spans="4:14" ht="15" customHeight="1">
      <c r="D804" s="272"/>
      <c r="E804" s="272"/>
      <c r="F804" s="272"/>
      <c r="G804" s="272"/>
      <c r="H804" s="272"/>
      <c r="I804" s="272"/>
      <c r="J804" s="272"/>
      <c r="K804" s="272"/>
      <c r="L804" s="272"/>
      <c r="M804" s="274"/>
      <c r="N804" s="272"/>
    </row>
    <row r="805" spans="4:14" ht="15" customHeight="1">
      <c r="D805" s="272"/>
      <c r="E805" s="272"/>
      <c r="F805" s="272"/>
      <c r="G805" s="272"/>
      <c r="H805" s="272"/>
      <c r="I805" s="272"/>
      <c r="J805" s="272"/>
      <c r="K805" s="272"/>
      <c r="L805" s="272"/>
      <c r="M805" s="274"/>
      <c r="N805" s="272"/>
    </row>
    <row r="806" spans="4:14" ht="15" customHeight="1">
      <c r="D806" s="272"/>
      <c r="E806" s="272"/>
      <c r="F806" s="272"/>
      <c r="G806" s="272"/>
      <c r="H806" s="272"/>
      <c r="I806" s="272"/>
      <c r="J806" s="272"/>
      <c r="K806" s="272"/>
      <c r="L806" s="272"/>
      <c r="M806" s="274"/>
      <c r="N806" s="272"/>
    </row>
    <row r="807" spans="4:14" ht="15" customHeight="1">
      <c r="D807" s="272"/>
      <c r="E807" s="272"/>
      <c r="F807" s="272"/>
      <c r="G807" s="272"/>
      <c r="H807" s="272"/>
      <c r="I807" s="272"/>
      <c r="J807" s="272"/>
      <c r="K807" s="272"/>
      <c r="L807" s="272"/>
      <c r="M807" s="274"/>
      <c r="N807" s="272"/>
    </row>
    <row r="808" spans="4:14" ht="15" customHeight="1">
      <c r="D808" s="272"/>
      <c r="E808" s="272"/>
      <c r="F808" s="272"/>
      <c r="G808" s="272"/>
      <c r="H808" s="272"/>
      <c r="I808" s="272"/>
      <c r="J808" s="272"/>
      <c r="K808" s="272"/>
      <c r="L808" s="272"/>
      <c r="M808" s="274"/>
      <c r="N808" s="272"/>
    </row>
    <row r="809" spans="4:14" ht="15" customHeight="1">
      <c r="D809" s="272"/>
      <c r="E809" s="272"/>
      <c r="F809" s="272"/>
      <c r="G809" s="272"/>
      <c r="H809" s="272"/>
      <c r="I809" s="272"/>
      <c r="J809" s="272"/>
      <c r="K809" s="272"/>
      <c r="L809" s="272"/>
      <c r="M809" s="274"/>
      <c r="N809" s="272"/>
    </row>
    <row r="810" spans="4:14" ht="15" customHeight="1">
      <c r="D810" s="272"/>
      <c r="E810" s="272"/>
      <c r="F810" s="272"/>
      <c r="G810" s="272"/>
      <c r="H810" s="272"/>
      <c r="I810" s="272"/>
      <c r="J810" s="272"/>
      <c r="K810" s="272"/>
      <c r="L810" s="272"/>
      <c r="M810" s="274"/>
      <c r="N810" s="272"/>
    </row>
    <row r="811" spans="4:14" ht="15" customHeight="1">
      <c r="D811" s="272"/>
      <c r="E811" s="272"/>
      <c r="F811" s="272"/>
      <c r="G811" s="272"/>
      <c r="H811" s="272"/>
      <c r="I811" s="272"/>
      <c r="J811" s="272"/>
      <c r="K811" s="272"/>
      <c r="L811" s="272"/>
      <c r="M811" s="274"/>
      <c r="N811" s="272"/>
    </row>
    <row r="812" spans="4:14" ht="15" customHeight="1">
      <c r="D812" s="272"/>
      <c r="E812" s="272"/>
      <c r="F812" s="272"/>
      <c r="G812" s="272"/>
      <c r="H812" s="272"/>
      <c r="I812" s="272"/>
      <c r="J812" s="272"/>
      <c r="K812" s="272"/>
      <c r="L812" s="272"/>
      <c r="M812" s="274"/>
      <c r="N812" s="272"/>
    </row>
    <row r="813" spans="4:14" ht="15" customHeight="1">
      <c r="D813" s="272"/>
      <c r="E813" s="272"/>
      <c r="F813" s="272"/>
      <c r="G813" s="272"/>
      <c r="H813" s="272"/>
      <c r="I813" s="272"/>
      <c r="J813" s="272"/>
      <c r="K813" s="272"/>
      <c r="L813" s="272"/>
      <c r="M813" s="274"/>
      <c r="N813" s="272"/>
    </row>
    <row r="814" spans="4:14" ht="15" customHeight="1">
      <c r="D814" s="272"/>
      <c r="E814" s="272"/>
      <c r="F814" s="272"/>
      <c r="G814" s="272"/>
      <c r="H814" s="272"/>
      <c r="I814" s="272"/>
      <c r="J814" s="272"/>
      <c r="K814" s="272"/>
      <c r="L814" s="272"/>
      <c r="M814" s="274"/>
      <c r="N814" s="272"/>
    </row>
    <row r="815" spans="4:14" ht="15" customHeight="1">
      <c r="D815" s="272"/>
      <c r="E815" s="272"/>
      <c r="F815" s="272"/>
      <c r="G815" s="272"/>
      <c r="H815" s="272"/>
      <c r="I815" s="272"/>
      <c r="J815" s="272"/>
      <c r="K815" s="272"/>
      <c r="L815" s="272"/>
      <c r="M815" s="274"/>
      <c r="N815" s="272"/>
    </row>
    <row r="816" spans="4:14" ht="15" customHeight="1">
      <c r="D816" s="272"/>
      <c r="E816" s="272"/>
      <c r="F816" s="272"/>
      <c r="G816" s="272"/>
      <c r="H816" s="272"/>
      <c r="I816" s="272"/>
      <c r="J816" s="272"/>
      <c r="K816" s="272"/>
      <c r="L816" s="272"/>
      <c r="M816" s="274"/>
      <c r="N816" s="272"/>
    </row>
    <row r="817" spans="4:14" ht="15" customHeight="1">
      <c r="D817" s="272"/>
      <c r="E817" s="272"/>
      <c r="F817" s="272"/>
      <c r="G817" s="272"/>
      <c r="H817" s="272"/>
      <c r="I817" s="272"/>
      <c r="J817" s="272"/>
      <c r="K817" s="272"/>
      <c r="L817" s="272"/>
      <c r="M817" s="274"/>
      <c r="N817" s="272"/>
    </row>
    <row r="818" spans="4:14" ht="15" customHeight="1">
      <c r="D818" s="272"/>
      <c r="E818" s="272"/>
      <c r="F818" s="272"/>
      <c r="G818" s="272"/>
      <c r="H818" s="272"/>
      <c r="I818" s="272"/>
      <c r="J818" s="272"/>
      <c r="K818" s="272"/>
      <c r="L818" s="272"/>
      <c r="M818" s="274"/>
      <c r="N818" s="272"/>
    </row>
  </sheetData>
  <autoFilter ref="A4:Y818"/>
  <mergeCells count="11">
    <mergeCell ref="A8:M8"/>
    <mergeCell ref="F13:I13"/>
    <mergeCell ref="A11:A12"/>
    <mergeCell ref="B11:B12"/>
    <mergeCell ref="J11:J12"/>
    <mergeCell ref="F11:I12"/>
    <mergeCell ref="E11:E12"/>
    <mergeCell ref="D11:D12"/>
    <mergeCell ref="C11:C12"/>
    <mergeCell ref="K11:K12"/>
    <mergeCell ref="L11:M11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0" fitToHeight="0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Q621"/>
  <sheetViews>
    <sheetView zoomScale="80" zoomScaleNormal="80" workbookViewId="0">
      <pane ySplit="4" topLeftCell="A5" activePane="bottomLeft" state="frozen"/>
      <selection activeCell="G563" sqref="G563"/>
      <selection pane="bottomLeft" activeCell="N2" sqref="N2"/>
    </sheetView>
  </sheetViews>
  <sheetFormatPr defaultColWidth="8.85546875" defaultRowHeight="15"/>
  <cols>
    <col min="1" max="1" width="4.7109375" style="141" customWidth="1"/>
    <col min="2" max="2" width="54.42578125" style="141" customWidth="1"/>
    <col min="3" max="3" width="5.5703125" style="141" customWidth="1"/>
    <col min="4" max="4" width="3.7109375" style="141" customWidth="1"/>
    <col min="5" max="5" width="4" style="141" customWidth="1"/>
    <col min="6" max="6" width="3.28515625" style="141" customWidth="1"/>
    <col min="7" max="7" width="2.42578125" style="141" customWidth="1"/>
    <col min="8" max="8" width="2.7109375" style="141" customWidth="1"/>
    <col min="9" max="9" width="7.7109375" style="141" customWidth="1"/>
    <col min="10" max="10" width="5" style="141" customWidth="1"/>
    <col min="11" max="11" width="13.28515625" style="141" hidden="1" customWidth="1"/>
    <col min="12" max="12" width="13.42578125" style="141" customWidth="1"/>
    <col min="13" max="13" width="16.42578125" style="393" customWidth="1"/>
    <col min="14" max="14" width="16" style="393" customWidth="1"/>
    <col min="15" max="16" width="8.85546875" style="141" customWidth="1"/>
    <col min="17" max="17" width="19.28515625" style="141" customWidth="1"/>
    <col min="18" max="16384" width="8.85546875" style="141"/>
  </cols>
  <sheetData>
    <row r="1" spans="1:14" ht="18.75">
      <c r="H1" s="194"/>
      <c r="I1" s="201"/>
      <c r="J1" s="194"/>
      <c r="K1" s="194"/>
      <c r="L1" s="194"/>
      <c r="M1" s="194"/>
      <c r="N1" s="201" t="s">
        <v>540</v>
      </c>
    </row>
    <row r="2" spans="1:14" ht="18.75" customHeight="1">
      <c r="H2" s="194"/>
      <c r="I2" s="201"/>
      <c r="J2" s="194"/>
      <c r="K2" s="194"/>
      <c r="L2" s="194"/>
      <c r="M2" s="194"/>
      <c r="N2" s="201" t="s">
        <v>1017</v>
      </c>
    </row>
    <row r="4" spans="1:14" ht="18.75">
      <c r="N4" s="201" t="s">
        <v>493</v>
      </c>
    </row>
    <row r="5" spans="1:14" ht="18.75">
      <c r="N5" s="496" t="s">
        <v>922</v>
      </c>
    </row>
    <row r="8" spans="1:14" ht="17.45" customHeight="1">
      <c r="A8" s="841" t="s">
        <v>784</v>
      </c>
      <c r="B8" s="841"/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1"/>
    </row>
    <row r="9" spans="1:14" ht="17.45" customHeight="1">
      <c r="A9" s="737"/>
      <c r="B9" s="737"/>
      <c r="C9" s="737"/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</row>
    <row r="10" spans="1:14" ht="17.45" customHeight="1">
      <c r="A10" s="737"/>
      <c r="B10" s="737"/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</row>
    <row r="11" spans="1:14" ht="18.75">
      <c r="A11" s="142"/>
      <c r="B11" s="143"/>
      <c r="C11" s="144"/>
      <c r="D11" s="144"/>
      <c r="E11" s="144"/>
      <c r="F11" s="144"/>
      <c r="G11" s="142"/>
      <c r="H11" s="145"/>
      <c r="I11" s="146"/>
      <c r="J11" s="147"/>
      <c r="K11" s="147"/>
      <c r="L11" s="147"/>
      <c r="N11" s="394" t="s">
        <v>42</v>
      </c>
    </row>
    <row r="12" spans="1:14" ht="18" customHeight="1">
      <c r="A12" s="870" t="s">
        <v>43</v>
      </c>
      <c r="B12" s="871" t="s">
        <v>44</v>
      </c>
      <c r="C12" s="872" t="s">
        <v>45</v>
      </c>
      <c r="D12" s="872" t="s">
        <v>46</v>
      </c>
      <c r="E12" s="872" t="s">
        <v>47</v>
      </c>
      <c r="F12" s="873" t="s">
        <v>48</v>
      </c>
      <c r="G12" s="872"/>
      <c r="H12" s="872"/>
      <c r="I12" s="872"/>
      <c r="J12" s="872" t="s">
        <v>49</v>
      </c>
      <c r="K12" s="877" t="s">
        <v>923</v>
      </c>
      <c r="L12" s="876" t="s">
        <v>580</v>
      </c>
      <c r="M12" s="869"/>
      <c r="N12" s="874" t="s">
        <v>776</v>
      </c>
    </row>
    <row r="13" spans="1:14" ht="34.9" customHeight="1">
      <c r="A13" s="870"/>
      <c r="B13" s="871"/>
      <c r="C13" s="872"/>
      <c r="D13" s="872"/>
      <c r="E13" s="872"/>
      <c r="F13" s="873"/>
      <c r="G13" s="872"/>
      <c r="H13" s="872"/>
      <c r="I13" s="872"/>
      <c r="J13" s="872"/>
      <c r="K13" s="878"/>
      <c r="L13" s="701" t="s">
        <v>924</v>
      </c>
      <c r="M13" s="702" t="s">
        <v>925</v>
      </c>
      <c r="N13" s="875"/>
    </row>
    <row r="14" spans="1:14" ht="18.75">
      <c r="A14" s="148">
        <v>1</v>
      </c>
      <c r="B14" s="149">
        <v>2</v>
      </c>
      <c r="C14" s="150" t="s">
        <v>50</v>
      </c>
      <c r="D14" s="150" t="s">
        <v>51</v>
      </c>
      <c r="E14" s="150" t="s">
        <v>52</v>
      </c>
      <c r="F14" s="852" t="s">
        <v>53</v>
      </c>
      <c r="G14" s="852"/>
      <c r="H14" s="852"/>
      <c r="I14" s="853"/>
      <c r="J14" s="150" t="s">
        <v>54</v>
      </c>
      <c r="K14" s="150"/>
      <c r="L14" s="150" t="s">
        <v>882</v>
      </c>
      <c r="M14" s="185">
        <v>9</v>
      </c>
      <c r="N14" s="185">
        <v>10</v>
      </c>
    </row>
    <row r="15" spans="1:14" ht="25.15" customHeight="1">
      <c r="A15" s="151">
        <v>1</v>
      </c>
      <c r="B15" s="395" t="s">
        <v>224</v>
      </c>
      <c r="C15" s="153"/>
      <c r="D15" s="154"/>
      <c r="E15" s="154"/>
      <c r="F15" s="156"/>
      <c r="G15" s="156"/>
      <c r="H15" s="156"/>
      <c r="I15" s="157"/>
      <c r="J15" s="154"/>
      <c r="K15" s="696" t="e">
        <f>K17+K177+K204+K214+K387+K442+K482+K514+K552+K266</f>
        <v>#REF!</v>
      </c>
      <c r="L15" s="378">
        <f>L17+L177+L204+L214+L387+L442+L482+L514+L552+L266</f>
        <v>0</v>
      </c>
      <c r="M15" s="378">
        <f>M17+M177+M204+M214+M387+M442+M482+M514+M552+M266</f>
        <v>1484755.3</v>
      </c>
      <c r="N15" s="378">
        <f>N17+N177+N204+N214+N387+N442+N482+N514+N552+N266</f>
        <v>1512134.5</v>
      </c>
    </row>
    <row r="16" spans="1:14" ht="25.15" customHeight="1">
      <c r="A16" s="151"/>
      <c r="B16" s="152"/>
      <c r="C16" s="153"/>
      <c r="D16" s="154"/>
      <c r="E16" s="154"/>
      <c r="F16" s="156"/>
      <c r="G16" s="156"/>
      <c r="H16" s="156"/>
      <c r="I16" s="157"/>
      <c r="J16" s="154"/>
      <c r="K16" s="696"/>
      <c r="L16" s="378"/>
      <c r="M16" s="378"/>
      <c r="N16" s="378"/>
    </row>
    <row r="17" spans="1:14" s="396" customFormat="1" ht="37.5">
      <c r="A17" s="391">
        <v>1</v>
      </c>
      <c r="B17" s="158" t="s">
        <v>1</v>
      </c>
      <c r="C17" s="159" t="s">
        <v>3</v>
      </c>
      <c r="D17" s="160"/>
      <c r="E17" s="160"/>
      <c r="F17" s="161"/>
      <c r="G17" s="162"/>
      <c r="H17" s="162"/>
      <c r="I17" s="163"/>
      <c r="J17" s="160"/>
      <c r="K17" s="697">
        <f>K18+K82+K108+K156+K169+K147</f>
        <v>121149.39999999998</v>
      </c>
      <c r="L17" s="189">
        <f>L18+L82+L108+L156+L169+L147</f>
        <v>0</v>
      </c>
      <c r="M17" s="189">
        <f>M18+M82+M108+M156+M169+M147</f>
        <v>121149.39999999998</v>
      </c>
      <c r="N17" s="189">
        <f>N18+N82+N108+N156+N169+N147</f>
        <v>147816.1</v>
      </c>
    </row>
    <row r="18" spans="1:14" s="397" customFormat="1" ht="18.75">
      <c r="A18" s="151"/>
      <c r="B18" s="164" t="s">
        <v>56</v>
      </c>
      <c r="C18" s="165" t="s">
        <v>3</v>
      </c>
      <c r="D18" s="150" t="s">
        <v>57</v>
      </c>
      <c r="E18" s="150"/>
      <c r="F18" s="744"/>
      <c r="G18" s="745"/>
      <c r="H18" s="745"/>
      <c r="I18" s="746"/>
      <c r="J18" s="150"/>
      <c r="K18" s="698">
        <f>K19+K25+K54+K48+K59</f>
        <v>83294.399999999994</v>
      </c>
      <c r="L18" s="166">
        <f>L19+L25+L54+L48+L59</f>
        <v>0</v>
      </c>
      <c r="M18" s="166">
        <f>M19+M25+M54+M48+M59</f>
        <v>83294.399999999994</v>
      </c>
      <c r="N18" s="166">
        <f>N19+N25+N54+N48+N59</f>
        <v>83276</v>
      </c>
    </row>
    <row r="19" spans="1:14" s="392" customFormat="1" ht="56.25">
      <c r="A19" s="151"/>
      <c r="B19" s="164" t="s">
        <v>58</v>
      </c>
      <c r="C19" s="165" t="s">
        <v>3</v>
      </c>
      <c r="D19" s="150" t="s">
        <v>57</v>
      </c>
      <c r="E19" s="150" t="s">
        <v>59</v>
      </c>
      <c r="F19" s="744"/>
      <c r="G19" s="745"/>
      <c r="H19" s="745"/>
      <c r="I19" s="746"/>
      <c r="J19" s="150"/>
      <c r="K19" s="698">
        <f t="shared" ref="K19:N23" si="0">K20</f>
        <v>2128.5</v>
      </c>
      <c r="L19" s="166">
        <f t="shared" si="0"/>
        <v>0</v>
      </c>
      <c r="M19" s="166">
        <f t="shared" si="0"/>
        <v>2128.5</v>
      </c>
      <c r="N19" s="166">
        <f t="shared" si="0"/>
        <v>2128.5</v>
      </c>
    </row>
    <row r="20" spans="1:14" s="392" customFormat="1" ht="59.25" customHeight="1">
      <c r="A20" s="151"/>
      <c r="B20" s="164" t="s">
        <v>60</v>
      </c>
      <c r="C20" s="165" t="s">
        <v>3</v>
      </c>
      <c r="D20" s="150" t="s">
        <v>57</v>
      </c>
      <c r="E20" s="150" t="s">
        <v>59</v>
      </c>
      <c r="F20" s="744" t="s">
        <v>61</v>
      </c>
      <c r="G20" s="745" t="s">
        <v>62</v>
      </c>
      <c r="H20" s="745" t="s">
        <v>63</v>
      </c>
      <c r="I20" s="746" t="s">
        <v>64</v>
      </c>
      <c r="J20" s="150"/>
      <c r="K20" s="698">
        <f t="shared" si="0"/>
        <v>2128.5</v>
      </c>
      <c r="L20" s="166">
        <f t="shared" si="0"/>
        <v>0</v>
      </c>
      <c r="M20" s="166">
        <f t="shared" si="0"/>
        <v>2128.5</v>
      </c>
      <c r="N20" s="166">
        <f t="shared" si="0"/>
        <v>2128.5</v>
      </c>
    </row>
    <row r="21" spans="1:14" s="392" customFormat="1" ht="37.5">
      <c r="A21" s="151"/>
      <c r="B21" s="164" t="s">
        <v>404</v>
      </c>
      <c r="C21" s="165" t="s">
        <v>3</v>
      </c>
      <c r="D21" s="150" t="s">
        <v>57</v>
      </c>
      <c r="E21" s="150" t="s">
        <v>59</v>
      </c>
      <c r="F21" s="744" t="s">
        <v>61</v>
      </c>
      <c r="G21" s="745" t="s">
        <v>65</v>
      </c>
      <c r="H21" s="745" t="s">
        <v>63</v>
      </c>
      <c r="I21" s="746" t="s">
        <v>64</v>
      </c>
      <c r="J21" s="150"/>
      <c r="K21" s="698">
        <f t="shared" si="0"/>
        <v>2128.5</v>
      </c>
      <c r="L21" s="166">
        <f t="shared" si="0"/>
        <v>0</v>
      </c>
      <c r="M21" s="166">
        <f t="shared" si="0"/>
        <v>2128.5</v>
      </c>
      <c r="N21" s="166">
        <f t="shared" si="0"/>
        <v>2128.5</v>
      </c>
    </row>
    <row r="22" spans="1:14" s="392" customFormat="1" ht="56.25">
      <c r="A22" s="151"/>
      <c r="B22" s="164" t="s">
        <v>66</v>
      </c>
      <c r="C22" s="165" t="s">
        <v>3</v>
      </c>
      <c r="D22" s="150" t="s">
        <v>57</v>
      </c>
      <c r="E22" s="150" t="s">
        <v>59</v>
      </c>
      <c r="F22" s="744" t="s">
        <v>61</v>
      </c>
      <c r="G22" s="745" t="s">
        <v>65</v>
      </c>
      <c r="H22" s="745" t="s">
        <v>57</v>
      </c>
      <c r="I22" s="746" t="s">
        <v>64</v>
      </c>
      <c r="J22" s="150"/>
      <c r="K22" s="698">
        <f t="shared" si="0"/>
        <v>2128.5</v>
      </c>
      <c r="L22" s="166">
        <f t="shared" si="0"/>
        <v>0</v>
      </c>
      <c r="M22" s="166">
        <f t="shared" si="0"/>
        <v>2128.5</v>
      </c>
      <c r="N22" s="166">
        <f t="shared" si="0"/>
        <v>2128.5</v>
      </c>
    </row>
    <row r="23" spans="1:14" s="392" customFormat="1" ht="37.5">
      <c r="A23" s="151"/>
      <c r="B23" s="164" t="s">
        <v>67</v>
      </c>
      <c r="C23" s="165" t="s">
        <v>3</v>
      </c>
      <c r="D23" s="150" t="s">
        <v>57</v>
      </c>
      <c r="E23" s="150" t="s">
        <v>59</v>
      </c>
      <c r="F23" s="744" t="s">
        <v>61</v>
      </c>
      <c r="G23" s="745" t="s">
        <v>65</v>
      </c>
      <c r="H23" s="745" t="s">
        <v>57</v>
      </c>
      <c r="I23" s="746" t="s">
        <v>68</v>
      </c>
      <c r="J23" s="150"/>
      <c r="K23" s="698">
        <f t="shared" si="0"/>
        <v>2128.5</v>
      </c>
      <c r="L23" s="166">
        <f t="shared" si="0"/>
        <v>0</v>
      </c>
      <c r="M23" s="166">
        <f t="shared" si="0"/>
        <v>2128.5</v>
      </c>
      <c r="N23" s="166">
        <f t="shared" si="0"/>
        <v>2128.5</v>
      </c>
    </row>
    <row r="24" spans="1:14" s="392" customFormat="1" ht="112.5">
      <c r="A24" s="151"/>
      <c r="B24" s="164" t="s">
        <v>69</v>
      </c>
      <c r="C24" s="165" t="s">
        <v>3</v>
      </c>
      <c r="D24" s="150" t="s">
        <v>57</v>
      </c>
      <c r="E24" s="150" t="s">
        <v>59</v>
      </c>
      <c r="F24" s="744" t="s">
        <v>61</v>
      </c>
      <c r="G24" s="745" t="s">
        <v>65</v>
      </c>
      <c r="H24" s="745" t="s">
        <v>57</v>
      </c>
      <c r="I24" s="746" t="s">
        <v>68</v>
      </c>
      <c r="J24" s="150" t="s">
        <v>70</v>
      </c>
      <c r="K24" s="698">
        <v>2128.5</v>
      </c>
      <c r="L24" s="166">
        <f>M24-K24</f>
        <v>0</v>
      </c>
      <c r="M24" s="166">
        <v>2128.5</v>
      </c>
      <c r="N24" s="166">
        <v>2128.5</v>
      </c>
    </row>
    <row r="25" spans="1:14" s="397" customFormat="1" ht="77.25" customHeight="1">
      <c r="A25" s="151"/>
      <c r="B25" s="164" t="s">
        <v>71</v>
      </c>
      <c r="C25" s="165" t="s">
        <v>3</v>
      </c>
      <c r="D25" s="150" t="s">
        <v>57</v>
      </c>
      <c r="E25" s="150" t="s">
        <v>72</v>
      </c>
      <c r="F25" s="744"/>
      <c r="G25" s="745"/>
      <c r="H25" s="745"/>
      <c r="I25" s="746"/>
      <c r="J25" s="150"/>
      <c r="K25" s="698">
        <f t="shared" ref="K25:N26" si="1">K26</f>
        <v>72075.899999999994</v>
      </c>
      <c r="L25" s="166">
        <f t="shared" si="1"/>
        <v>0</v>
      </c>
      <c r="M25" s="166">
        <f t="shared" si="1"/>
        <v>72075.899999999994</v>
      </c>
      <c r="N25" s="166">
        <f t="shared" si="1"/>
        <v>72150.2</v>
      </c>
    </row>
    <row r="26" spans="1:14" s="397" customFormat="1" ht="60.75" customHeight="1">
      <c r="A26" s="151"/>
      <c r="B26" s="164" t="s">
        <v>73</v>
      </c>
      <c r="C26" s="165" t="s">
        <v>3</v>
      </c>
      <c r="D26" s="150" t="s">
        <v>57</v>
      </c>
      <c r="E26" s="150" t="s">
        <v>72</v>
      </c>
      <c r="F26" s="744" t="s">
        <v>61</v>
      </c>
      <c r="G26" s="745" t="s">
        <v>62</v>
      </c>
      <c r="H26" s="745" t="s">
        <v>63</v>
      </c>
      <c r="I26" s="746" t="s">
        <v>64</v>
      </c>
      <c r="J26" s="150"/>
      <c r="K26" s="698">
        <f t="shared" si="1"/>
        <v>72075.899999999994</v>
      </c>
      <c r="L26" s="166">
        <f t="shared" si="1"/>
        <v>0</v>
      </c>
      <c r="M26" s="166">
        <f t="shared" si="1"/>
        <v>72075.899999999994</v>
      </c>
      <c r="N26" s="166">
        <f t="shared" si="1"/>
        <v>72150.2</v>
      </c>
    </row>
    <row r="27" spans="1:14" s="147" customFormat="1" ht="37.5">
      <c r="A27" s="151"/>
      <c r="B27" s="164" t="s">
        <v>404</v>
      </c>
      <c r="C27" s="165" t="s">
        <v>3</v>
      </c>
      <c r="D27" s="150" t="s">
        <v>57</v>
      </c>
      <c r="E27" s="150" t="s">
        <v>72</v>
      </c>
      <c r="F27" s="744" t="s">
        <v>61</v>
      </c>
      <c r="G27" s="745" t="s">
        <v>65</v>
      </c>
      <c r="H27" s="745" t="s">
        <v>63</v>
      </c>
      <c r="I27" s="746" t="s">
        <v>64</v>
      </c>
      <c r="J27" s="150"/>
      <c r="K27" s="698">
        <f>K28+K45</f>
        <v>72075.899999999994</v>
      </c>
      <c r="L27" s="166">
        <f>L28+L45</f>
        <v>0</v>
      </c>
      <c r="M27" s="166">
        <f>M28+M45</f>
        <v>72075.899999999994</v>
      </c>
      <c r="N27" s="166">
        <f>N28+N45</f>
        <v>72150.2</v>
      </c>
    </row>
    <row r="28" spans="1:14" s="147" customFormat="1" ht="37.5">
      <c r="A28" s="151"/>
      <c r="B28" s="164" t="s">
        <v>74</v>
      </c>
      <c r="C28" s="165" t="s">
        <v>3</v>
      </c>
      <c r="D28" s="150" t="s">
        <v>57</v>
      </c>
      <c r="E28" s="150" t="s">
        <v>72</v>
      </c>
      <c r="F28" s="744" t="s">
        <v>61</v>
      </c>
      <c r="G28" s="745" t="s">
        <v>65</v>
      </c>
      <c r="H28" s="745" t="s">
        <v>59</v>
      </c>
      <c r="I28" s="746" t="s">
        <v>64</v>
      </c>
      <c r="J28" s="150"/>
      <c r="K28" s="698">
        <f>K29+K35+K37+K40+K33+K43</f>
        <v>71962.7</v>
      </c>
      <c r="L28" s="166">
        <f>L29+L35+L37+L40+L33+L43</f>
        <v>0</v>
      </c>
      <c r="M28" s="166">
        <f>M29+M35+M37+M40+M33+M43</f>
        <v>71962.7</v>
      </c>
      <c r="N28" s="166">
        <f>N29+N35+N37+N40+N33+N43</f>
        <v>72037</v>
      </c>
    </row>
    <row r="29" spans="1:14" s="392" customFormat="1" ht="37.5">
      <c r="A29" s="151"/>
      <c r="B29" s="164" t="s">
        <v>67</v>
      </c>
      <c r="C29" s="165" t="s">
        <v>3</v>
      </c>
      <c r="D29" s="150" t="s">
        <v>57</v>
      </c>
      <c r="E29" s="150" t="s">
        <v>72</v>
      </c>
      <c r="F29" s="744" t="s">
        <v>61</v>
      </c>
      <c r="G29" s="745" t="s">
        <v>65</v>
      </c>
      <c r="H29" s="745" t="s">
        <v>59</v>
      </c>
      <c r="I29" s="746" t="s">
        <v>68</v>
      </c>
      <c r="J29" s="150"/>
      <c r="K29" s="698">
        <f>K30+K31+K32</f>
        <v>67115.899999999994</v>
      </c>
      <c r="L29" s="166">
        <f>L30+L31+L32</f>
        <v>0</v>
      </c>
      <c r="M29" s="166">
        <f>M30+M31+M32</f>
        <v>67115.899999999994</v>
      </c>
      <c r="N29" s="166">
        <f>N30+N31+N32</f>
        <v>67190.2</v>
      </c>
    </row>
    <row r="30" spans="1:14" s="392" customFormat="1" ht="112.5">
      <c r="A30" s="151"/>
      <c r="B30" s="164" t="s">
        <v>69</v>
      </c>
      <c r="C30" s="165" t="s">
        <v>3</v>
      </c>
      <c r="D30" s="150" t="s">
        <v>57</v>
      </c>
      <c r="E30" s="150" t="s">
        <v>72</v>
      </c>
      <c r="F30" s="744" t="s">
        <v>61</v>
      </c>
      <c r="G30" s="745" t="s">
        <v>65</v>
      </c>
      <c r="H30" s="745" t="s">
        <v>59</v>
      </c>
      <c r="I30" s="746" t="s">
        <v>68</v>
      </c>
      <c r="J30" s="150" t="s">
        <v>70</v>
      </c>
      <c r="K30" s="698">
        <v>61571.199999999997</v>
      </c>
      <c r="L30" s="166">
        <f>M30-K30</f>
        <v>0</v>
      </c>
      <c r="M30" s="166">
        <v>61571.199999999997</v>
      </c>
      <c r="N30" s="166">
        <v>61571.199999999997</v>
      </c>
    </row>
    <row r="31" spans="1:14" s="147" customFormat="1" ht="56.25">
      <c r="A31" s="151"/>
      <c r="B31" s="164" t="s">
        <v>75</v>
      </c>
      <c r="C31" s="165" t="s">
        <v>3</v>
      </c>
      <c r="D31" s="150" t="s">
        <v>57</v>
      </c>
      <c r="E31" s="150" t="s">
        <v>72</v>
      </c>
      <c r="F31" s="744" t="s">
        <v>61</v>
      </c>
      <c r="G31" s="745" t="s">
        <v>65</v>
      </c>
      <c r="H31" s="745" t="s">
        <v>59</v>
      </c>
      <c r="I31" s="746" t="s">
        <v>68</v>
      </c>
      <c r="J31" s="150" t="s">
        <v>76</v>
      </c>
      <c r="K31" s="698">
        <v>5452.8</v>
      </c>
      <c r="L31" s="166">
        <f>M31-K31</f>
        <v>0</v>
      </c>
      <c r="M31" s="166">
        <v>5452.8</v>
      </c>
      <c r="N31" s="166">
        <v>5527.1</v>
      </c>
    </row>
    <row r="32" spans="1:14" s="392" customFormat="1" ht="18.75">
      <c r="A32" s="151"/>
      <c r="B32" s="164" t="s">
        <v>77</v>
      </c>
      <c r="C32" s="165" t="s">
        <v>3</v>
      </c>
      <c r="D32" s="150" t="s">
        <v>57</v>
      </c>
      <c r="E32" s="150" t="s">
        <v>72</v>
      </c>
      <c r="F32" s="744" t="s">
        <v>61</v>
      </c>
      <c r="G32" s="745" t="s">
        <v>65</v>
      </c>
      <c r="H32" s="745" t="s">
        <v>59</v>
      </c>
      <c r="I32" s="746" t="s">
        <v>68</v>
      </c>
      <c r="J32" s="150" t="s">
        <v>78</v>
      </c>
      <c r="K32" s="698">
        <v>91.9</v>
      </c>
      <c r="L32" s="166">
        <f>M32-K32</f>
        <v>0</v>
      </c>
      <c r="M32" s="166">
        <v>91.9</v>
      </c>
      <c r="N32" s="166">
        <v>91.9</v>
      </c>
    </row>
    <row r="33" spans="1:14" s="397" customFormat="1" ht="94.5" customHeight="1">
      <c r="A33" s="151"/>
      <c r="B33" s="164" t="s">
        <v>750</v>
      </c>
      <c r="C33" s="165" t="s">
        <v>3</v>
      </c>
      <c r="D33" s="150" t="s">
        <v>57</v>
      </c>
      <c r="E33" s="150" t="s">
        <v>72</v>
      </c>
      <c r="F33" s="744" t="s">
        <v>61</v>
      </c>
      <c r="G33" s="745" t="s">
        <v>65</v>
      </c>
      <c r="H33" s="745" t="s">
        <v>59</v>
      </c>
      <c r="I33" s="746" t="s">
        <v>305</v>
      </c>
      <c r="J33" s="150"/>
      <c r="K33" s="698">
        <f>K34</f>
        <v>66</v>
      </c>
      <c r="L33" s="166">
        <f>L34</f>
        <v>0</v>
      </c>
      <c r="M33" s="166">
        <f>M34</f>
        <v>66</v>
      </c>
      <c r="N33" s="166">
        <f>N34</f>
        <v>66</v>
      </c>
    </row>
    <row r="34" spans="1:14" s="397" customFormat="1" ht="56.25">
      <c r="A34" s="151"/>
      <c r="B34" s="164" t="s">
        <v>75</v>
      </c>
      <c r="C34" s="165" t="s">
        <v>3</v>
      </c>
      <c r="D34" s="150" t="s">
        <v>57</v>
      </c>
      <c r="E34" s="150" t="s">
        <v>72</v>
      </c>
      <c r="F34" s="744" t="s">
        <v>61</v>
      </c>
      <c r="G34" s="745" t="s">
        <v>65</v>
      </c>
      <c r="H34" s="745" t="s">
        <v>59</v>
      </c>
      <c r="I34" s="746" t="s">
        <v>305</v>
      </c>
      <c r="J34" s="150" t="s">
        <v>76</v>
      </c>
      <c r="K34" s="698">
        <v>66</v>
      </c>
      <c r="L34" s="166">
        <f>M34-K34</f>
        <v>0</v>
      </c>
      <c r="M34" s="166">
        <v>66</v>
      </c>
      <c r="N34" s="166">
        <v>66</v>
      </c>
    </row>
    <row r="35" spans="1:14" s="397" customFormat="1" ht="204.75" customHeight="1">
      <c r="A35" s="151"/>
      <c r="B35" s="196" t="s">
        <v>760</v>
      </c>
      <c r="C35" s="165" t="s">
        <v>3</v>
      </c>
      <c r="D35" s="150" t="s">
        <v>57</v>
      </c>
      <c r="E35" s="150" t="s">
        <v>72</v>
      </c>
      <c r="F35" s="744" t="s">
        <v>61</v>
      </c>
      <c r="G35" s="745" t="s">
        <v>65</v>
      </c>
      <c r="H35" s="745" t="s">
        <v>59</v>
      </c>
      <c r="I35" s="746" t="s">
        <v>79</v>
      </c>
      <c r="J35" s="150"/>
      <c r="K35" s="698">
        <f>K36</f>
        <v>636.5</v>
      </c>
      <c r="L35" s="166">
        <f>L36</f>
        <v>0</v>
      </c>
      <c r="M35" s="166">
        <f>M36</f>
        <v>636.5</v>
      </c>
      <c r="N35" s="166">
        <f>N36</f>
        <v>636.5</v>
      </c>
    </row>
    <row r="36" spans="1:14" s="397" customFormat="1" ht="112.5">
      <c r="A36" s="151"/>
      <c r="B36" s="164" t="s">
        <v>69</v>
      </c>
      <c r="C36" s="165" t="s">
        <v>3</v>
      </c>
      <c r="D36" s="150" t="s">
        <v>57</v>
      </c>
      <c r="E36" s="150" t="s">
        <v>72</v>
      </c>
      <c r="F36" s="744" t="s">
        <v>61</v>
      </c>
      <c r="G36" s="745" t="s">
        <v>65</v>
      </c>
      <c r="H36" s="745" t="s">
        <v>59</v>
      </c>
      <c r="I36" s="746" t="s">
        <v>79</v>
      </c>
      <c r="J36" s="150" t="s">
        <v>70</v>
      </c>
      <c r="K36" s="698">
        <v>636.5</v>
      </c>
      <c r="L36" s="166">
        <f>M36-K36</f>
        <v>0</v>
      </c>
      <c r="M36" s="166">
        <v>636.5</v>
      </c>
      <c r="N36" s="166">
        <v>636.5</v>
      </c>
    </row>
    <row r="37" spans="1:14" s="397" customFormat="1" ht="78.75" customHeight="1">
      <c r="A37" s="151"/>
      <c r="B37" s="164" t="s">
        <v>80</v>
      </c>
      <c r="C37" s="165" t="s">
        <v>3</v>
      </c>
      <c r="D37" s="150" t="s">
        <v>57</v>
      </c>
      <c r="E37" s="150" t="s">
        <v>72</v>
      </c>
      <c r="F37" s="744" t="s">
        <v>61</v>
      </c>
      <c r="G37" s="745" t="s">
        <v>65</v>
      </c>
      <c r="H37" s="745" t="s">
        <v>59</v>
      </c>
      <c r="I37" s="746" t="s">
        <v>81</v>
      </c>
      <c r="J37" s="150"/>
      <c r="K37" s="698">
        <f>SUM(K38:K39)</f>
        <v>3441.6000000000004</v>
      </c>
      <c r="L37" s="166">
        <f>SUM(L38:L39)</f>
        <v>0</v>
      </c>
      <c r="M37" s="166">
        <f>SUM(M38:M39)</f>
        <v>3441.6000000000004</v>
      </c>
      <c r="N37" s="166">
        <f>SUM(N38:N39)</f>
        <v>3441.6000000000004</v>
      </c>
    </row>
    <row r="38" spans="1:14" s="397" customFormat="1" ht="112.5">
      <c r="A38" s="151"/>
      <c r="B38" s="164" t="s">
        <v>69</v>
      </c>
      <c r="C38" s="165" t="s">
        <v>3</v>
      </c>
      <c r="D38" s="150" t="s">
        <v>57</v>
      </c>
      <c r="E38" s="150" t="s">
        <v>72</v>
      </c>
      <c r="F38" s="744" t="s">
        <v>61</v>
      </c>
      <c r="G38" s="745" t="s">
        <v>65</v>
      </c>
      <c r="H38" s="745" t="s">
        <v>59</v>
      </c>
      <c r="I38" s="746" t="s">
        <v>81</v>
      </c>
      <c r="J38" s="150" t="s">
        <v>70</v>
      </c>
      <c r="K38" s="698">
        <v>3372.8</v>
      </c>
      <c r="L38" s="166">
        <f>M38-K38</f>
        <v>0</v>
      </c>
      <c r="M38" s="166">
        <v>3372.8</v>
      </c>
      <c r="N38" s="166">
        <v>3372.8</v>
      </c>
    </row>
    <row r="39" spans="1:14" s="397" customFormat="1" ht="56.25">
      <c r="A39" s="151"/>
      <c r="B39" s="164" t="s">
        <v>75</v>
      </c>
      <c r="C39" s="165" t="s">
        <v>3</v>
      </c>
      <c r="D39" s="150" t="s">
        <v>57</v>
      </c>
      <c r="E39" s="150" t="s">
        <v>72</v>
      </c>
      <c r="F39" s="744" t="s">
        <v>61</v>
      </c>
      <c r="G39" s="745" t="s">
        <v>65</v>
      </c>
      <c r="H39" s="745" t="s">
        <v>59</v>
      </c>
      <c r="I39" s="746" t="s">
        <v>81</v>
      </c>
      <c r="J39" s="150" t="s">
        <v>76</v>
      </c>
      <c r="K39" s="698">
        <v>68.8</v>
      </c>
      <c r="L39" s="166">
        <f>M39-K39</f>
        <v>0</v>
      </c>
      <c r="M39" s="166">
        <v>68.8</v>
      </c>
      <c r="N39" s="166">
        <v>68.8</v>
      </c>
    </row>
    <row r="40" spans="1:14" s="397" customFormat="1" ht="75">
      <c r="A40" s="151"/>
      <c r="B40" s="164" t="s">
        <v>583</v>
      </c>
      <c r="C40" s="165" t="s">
        <v>3</v>
      </c>
      <c r="D40" s="150" t="s">
        <v>57</v>
      </c>
      <c r="E40" s="150" t="s">
        <v>72</v>
      </c>
      <c r="F40" s="744" t="s">
        <v>61</v>
      </c>
      <c r="G40" s="745" t="s">
        <v>65</v>
      </c>
      <c r="H40" s="745" t="s">
        <v>59</v>
      </c>
      <c r="I40" s="746" t="s">
        <v>82</v>
      </c>
      <c r="J40" s="150"/>
      <c r="K40" s="698">
        <f>K41+K42</f>
        <v>636.70000000000005</v>
      </c>
      <c r="L40" s="166">
        <f>L41+L42</f>
        <v>0</v>
      </c>
      <c r="M40" s="166">
        <f>M41+M42</f>
        <v>636.70000000000005</v>
      </c>
      <c r="N40" s="166">
        <f>N41+N42</f>
        <v>636.70000000000005</v>
      </c>
    </row>
    <row r="41" spans="1:14" s="397" customFormat="1" ht="112.5">
      <c r="A41" s="151"/>
      <c r="B41" s="164" t="s">
        <v>69</v>
      </c>
      <c r="C41" s="165" t="s">
        <v>3</v>
      </c>
      <c r="D41" s="150" t="s">
        <v>57</v>
      </c>
      <c r="E41" s="150" t="s">
        <v>72</v>
      </c>
      <c r="F41" s="744" t="s">
        <v>61</v>
      </c>
      <c r="G41" s="745" t="s">
        <v>65</v>
      </c>
      <c r="H41" s="745" t="s">
        <v>59</v>
      </c>
      <c r="I41" s="746" t="s">
        <v>82</v>
      </c>
      <c r="J41" s="150" t="s">
        <v>70</v>
      </c>
      <c r="K41" s="698">
        <v>632.5</v>
      </c>
      <c r="L41" s="166">
        <f>M41-K41</f>
        <v>0</v>
      </c>
      <c r="M41" s="166">
        <v>632.5</v>
      </c>
      <c r="N41" s="166">
        <v>632.5</v>
      </c>
    </row>
    <row r="42" spans="1:14" s="397" customFormat="1" ht="56.25">
      <c r="A42" s="151"/>
      <c r="B42" s="164" t="s">
        <v>75</v>
      </c>
      <c r="C42" s="165" t="s">
        <v>3</v>
      </c>
      <c r="D42" s="150" t="s">
        <v>57</v>
      </c>
      <c r="E42" s="150" t="s">
        <v>72</v>
      </c>
      <c r="F42" s="744" t="s">
        <v>61</v>
      </c>
      <c r="G42" s="745" t="s">
        <v>65</v>
      </c>
      <c r="H42" s="745" t="s">
        <v>59</v>
      </c>
      <c r="I42" s="746" t="s">
        <v>82</v>
      </c>
      <c r="J42" s="150" t="s">
        <v>76</v>
      </c>
      <c r="K42" s="698">
        <v>4.2</v>
      </c>
      <c r="L42" s="166">
        <f>M42-K42</f>
        <v>0</v>
      </c>
      <c r="M42" s="166">
        <v>4.2</v>
      </c>
      <c r="N42" s="166">
        <v>4.2</v>
      </c>
    </row>
    <row r="43" spans="1:14" s="397" customFormat="1" ht="187.5" customHeight="1">
      <c r="A43" s="151"/>
      <c r="B43" s="196" t="s">
        <v>466</v>
      </c>
      <c r="C43" s="165" t="s">
        <v>3</v>
      </c>
      <c r="D43" s="150" t="s">
        <v>57</v>
      </c>
      <c r="E43" s="150" t="s">
        <v>72</v>
      </c>
      <c r="F43" s="744" t="s">
        <v>61</v>
      </c>
      <c r="G43" s="745" t="s">
        <v>65</v>
      </c>
      <c r="H43" s="745" t="s">
        <v>59</v>
      </c>
      <c r="I43" s="746" t="s">
        <v>465</v>
      </c>
      <c r="J43" s="150"/>
      <c r="K43" s="698">
        <f>K44</f>
        <v>66</v>
      </c>
      <c r="L43" s="166">
        <f>L44</f>
        <v>0</v>
      </c>
      <c r="M43" s="166">
        <f>M44</f>
        <v>66</v>
      </c>
      <c r="N43" s="166">
        <f>N44</f>
        <v>66</v>
      </c>
    </row>
    <row r="44" spans="1:14" s="397" customFormat="1" ht="56.25">
      <c r="A44" s="151"/>
      <c r="B44" s="164" t="s">
        <v>75</v>
      </c>
      <c r="C44" s="165" t="s">
        <v>3</v>
      </c>
      <c r="D44" s="150" t="s">
        <v>57</v>
      </c>
      <c r="E44" s="150" t="s">
        <v>72</v>
      </c>
      <c r="F44" s="744" t="s">
        <v>61</v>
      </c>
      <c r="G44" s="745" t="s">
        <v>65</v>
      </c>
      <c r="H44" s="745" t="s">
        <v>59</v>
      </c>
      <c r="I44" s="746" t="s">
        <v>465</v>
      </c>
      <c r="J44" s="150" t="s">
        <v>76</v>
      </c>
      <c r="K44" s="698">
        <v>66</v>
      </c>
      <c r="L44" s="166">
        <f>M44-K44</f>
        <v>0</v>
      </c>
      <c r="M44" s="166">
        <v>66</v>
      </c>
      <c r="N44" s="166">
        <v>66</v>
      </c>
    </row>
    <row r="45" spans="1:14" s="147" customFormat="1" ht="18.75">
      <c r="A45" s="151"/>
      <c r="B45" s="164" t="s">
        <v>83</v>
      </c>
      <c r="C45" s="165" t="s">
        <v>3</v>
      </c>
      <c r="D45" s="150" t="s">
        <v>57</v>
      </c>
      <c r="E45" s="150" t="s">
        <v>72</v>
      </c>
      <c r="F45" s="744" t="s">
        <v>61</v>
      </c>
      <c r="G45" s="745" t="s">
        <v>65</v>
      </c>
      <c r="H45" s="745" t="s">
        <v>84</v>
      </c>
      <c r="I45" s="746" t="s">
        <v>64</v>
      </c>
      <c r="J45" s="150"/>
      <c r="K45" s="698">
        <f t="shared" ref="K45:N46" si="2">K46</f>
        <v>113.2</v>
      </c>
      <c r="L45" s="166">
        <f t="shared" si="2"/>
        <v>0</v>
      </c>
      <c r="M45" s="166">
        <f t="shared" si="2"/>
        <v>113.2</v>
      </c>
      <c r="N45" s="166">
        <f t="shared" si="2"/>
        <v>113.2</v>
      </c>
    </row>
    <row r="46" spans="1:14" s="392" customFormat="1" ht="37.5">
      <c r="A46" s="151"/>
      <c r="B46" s="164" t="s">
        <v>67</v>
      </c>
      <c r="C46" s="165" t="s">
        <v>3</v>
      </c>
      <c r="D46" s="150" t="s">
        <v>57</v>
      </c>
      <c r="E46" s="150" t="s">
        <v>72</v>
      </c>
      <c r="F46" s="744" t="s">
        <v>61</v>
      </c>
      <c r="G46" s="745" t="s">
        <v>65</v>
      </c>
      <c r="H46" s="745" t="s">
        <v>84</v>
      </c>
      <c r="I46" s="746" t="s">
        <v>68</v>
      </c>
      <c r="J46" s="150"/>
      <c r="K46" s="698">
        <f t="shared" si="2"/>
        <v>113.2</v>
      </c>
      <c r="L46" s="166">
        <f t="shared" si="2"/>
        <v>0</v>
      </c>
      <c r="M46" s="166">
        <f t="shared" si="2"/>
        <v>113.2</v>
      </c>
      <c r="N46" s="166">
        <f t="shared" si="2"/>
        <v>113.2</v>
      </c>
    </row>
    <row r="47" spans="1:14" s="147" customFormat="1" ht="56.25">
      <c r="A47" s="151"/>
      <c r="B47" s="164" t="s">
        <v>75</v>
      </c>
      <c r="C47" s="165" t="s">
        <v>3</v>
      </c>
      <c r="D47" s="150" t="s">
        <v>57</v>
      </c>
      <c r="E47" s="150" t="s">
        <v>72</v>
      </c>
      <c r="F47" s="744" t="s">
        <v>61</v>
      </c>
      <c r="G47" s="745" t="s">
        <v>65</v>
      </c>
      <c r="H47" s="745" t="s">
        <v>84</v>
      </c>
      <c r="I47" s="746" t="s">
        <v>68</v>
      </c>
      <c r="J47" s="150" t="s">
        <v>76</v>
      </c>
      <c r="K47" s="698">
        <v>113.2</v>
      </c>
      <c r="L47" s="166">
        <f>M47-K47</f>
        <v>0</v>
      </c>
      <c r="M47" s="166">
        <v>113.2</v>
      </c>
      <c r="N47" s="166">
        <v>113.2</v>
      </c>
    </row>
    <row r="48" spans="1:14" s="147" customFormat="1" ht="18.75">
      <c r="A48" s="151"/>
      <c r="B48" s="164" t="s">
        <v>488</v>
      </c>
      <c r="C48" s="165" t="s">
        <v>3</v>
      </c>
      <c r="D48" s="150" t="s">
        <v>57</v>
      </c>
      <c r="E48" s="150" t="s">
        <v>86</v>
      </c>
      <c r="F48" s="744"/>
      <c r="G48" s="745"/>
      <c r="H48" s="745"/>
      <c r="I48" s="746"/>
      <c r="J48" s="150"/>
      <c r="K48" s="698">
        <f t="shared" ref="K48:N52" si="3">K49</f>
        <v>98.4</v>
      </c>
      <c r="L48" s="166">
        <f t="shared" si="3"/>
        <v>0</v>
      </c>
      <c r="M48" s="166">
        <f t="shared" si="3"/>
        <v>98.4</v>
      </c>
      <c r="N48" s="166">
        <f t="shared" si="3"/>
        <v>5.7</v>
      </c>
    </row>
    <row r="49" spans="1:14" s="147" customFormat="1" ht="58.5" customHeight="1">
      <c r="A49" s="151"/>
      <c r="B49" s="164" t="s">
        <v>73</v>
      </c>
      <c r="C49" s="165" t="s">
        <v>3</v>
      </c>
      <c r="D49" s="150" t="s">
        <v>57</v>
      </c>
      <c r="E49" s="150" t="s">
        <v>86</v>
      </c>
      <c r="F49" s="744" t="s">
        <v>61</v>
      </c>
      <c r="G49" s="745" t="s">
        <v>62</v>
      </c>
      <c r="H49" s="745" t="s">
        <v>63</v>
      </c>
      <c r="I49" s="746" t="s">
        <v>64</v>
      </c>
      <c r="J49" s="150"/>
      <c r="K49" s="698">
        <f t="shared" si="3"/>
        <v>98.4</v>
      </c>
      <c r="L49" s="166">
        <f t="shared" si="3"/>
        <v>0</v>
      </c>
      <c r="M49" s="166">
        <f t="shared" si="3"/>
        <v>98.4</v>
      </c>
      <c r="N49" s="166">
        <f t="shared" si="3"/>
        <v>5.7</v>
      </c>
    </row>
    <row r="50" spans="1:14" s="147" customFormat="1" ht="37.5">
      <c r="A50" s="151"/>
      <c r="B50" s="164" t="s">
        <v>404</v>
      </c>
      <c r="C50" s="165" t="s">
        <v>3</v>
      </c>
      <c r="D50" s="150" t="s">
        <v>57</v>
      </c>
      <c r="E50" s="150" t="s">
        <v>86</v>
      </c>
      <c r="F50" s="744" t="s">
        <v>61</v>
      </c>
      <c r="G50" s="745" t="s">
        <v>65</v>
      </c>
      <c r="H50" s="745" t="s">
        <v>63</v>
      </c>
      <c r="I50" s="746" t="s">
        <v>64</v>
      </c>
      <c r="J50" s="150"/>
      <c r="K50" s="698">
        <f t="shared" si="3"/>
        <v>98.4</v>
      </c>
      <c r="L50" s="166">
        <f t="shared" si="3"/>
        <v>0</v>
      </c>
      <c r="M50" s="166">
        <f t="shared" si="3"/>
        <v>98.4</v>
      </c>
      <c r="N50" s="166">
        <f t="shared" si="3"/>
        <v>5.7</v>
      </c>
    </row>
    <row r="51" spans="1:14" s="147" customFormat="1" ht="37.5">
      <c r="A51" s="151"/>
      <c r="B51" s="164" t="s">
        <v>74</v>
      </c>
      <c r="C51" s="165" t="s">
        <v>3</v>
      </c>
      <c r="D51" s="150" t="s">
        <v>57</v>
      </c>
      <c r="E51" s="150" t="s">
        <v>86</v>
      </c>
      <c r="F51" s="744" t="s">
        <v>61</v>
      </c>
      <c r="G51" s="745" t="s">
        <v>65</v>
      </c>
      <c r="H51" s="745" t="s">
        <v>59</v>
      </c>
      <c r="I51" s="746" t="s">
        <v>64</v>
      </c>
      <c r="J51" s="150"/>
      <c r="K51" s="698">
        <f t="shared" si="3"/>
        <v>98.4</v>
      </c>
      <c r="L51" s="166">
        <f t="shared" si="3"/>
        <v>0</v>
      </c>
      <c r="M51" s="166">
        <f t="shared" si="3"/>
        <v>98.4</v>
      </c>
      <c r="N51" s="166">
        <f t="shared" si="3"/>
        <v>5.7</v>
      </c>
    </row>
    <row r="52" spans="1:14" s="147" customFormat="1" ht="76.5" customHeight="1">
      <c r="A52" s="151"/>
      <c r="B52" s="164" t="s">
        <v>490</v>
      </c>
      <c r="C52" s="165" t="s">
        <v>3</v>
      </c>
      <c r="D52" s="150" t="s">
        <v>57</v>
      </c>
      <c r="E52" s="150" t="s">
        <v>86</v>
      </c>
      <c r="F52" s="744" t="s">
        <v>61</v>
      </c>
      <c r="G52" s="745" t="s">
        <v>65</v>
      </c>
      <c r="H52" s="745" t="s">
        <v>59</v>
      </c>
      <c r="I52" s="746" t="s">
        <v>489</v>
      </c>
      <c r="J52" s="150"/>
      <c r="K52" s="698">
        <f t="shared" si="3"/>
        <v>98.4</v>
      </c>
      <c r="L52" s="166">
        <f t="shared" si="3"/>
        <v>0</v>
      </c>
      <c r="M52" s="166">
        <f t="shared" si="3"/>
        <v>98.4</v>
      </c>
      <c r="N52" s="166">
        <f t="shared" si="3"/>
        <v>5.7</v>
      </c>
    </row>
    <row r="53" spans="1:14" s="147" customFormat="1" ht="56.25">
      <c r="A53" s="151"/>
      <c r="B53" s="164" t="s">
        <v>75</v>
      </c>
      <c r="C53" s="165" t="s">
        <v>3</v>
      </c>
      <c r="D53" s="150" t="s">
        <v>57</v>
      </c>
      <c r="E53" s="150" t="s">
        <v>86</v>
      </c>
      <c r="F53" s="744" t="s">
        <v>61</v>
      </c>
      <c r="G53" s="745" t="s">
        <v>65</v>
      </c>
      <c r="H53" s="745" t="s">
        <v>59</v>
      </c>
      <c r="I53" s="746" t="s">
        <v>489</v>
      </c>
      <c r="J53" s="150" t="s">
        <v>76</v>
      </c>
      <c r="K53" s="698">
        <v>98.4</v>
      </c>
      <c r="L53" s="166">
        <f>M53-K53</f>
        <v>0</v>
      </c>
      <c r="M53" s="166">
        <v>98.4</v>
      </c>
      <c r="N53" s="166">
        <v>5.7</v>
      </c>
    </row>
    <row r="54" spans="1:14" s="392" customFormat="1" ht="18.75">
      <c r="A54" s="151"/>
      <c r="B54" s="164" t="s">
        <v>87</v>
      </c>
      <c r="C54" s="165" t="s">
        <v>3</v>
      </c>
      <c r="D54" s="150" t="s">
        <v>57</v>
      </c>
      <c r="E54" s="150" t="s">
        <v>88</v>
      </c>
      <c r="F54" s="744"/>
      <c r="G54" s="745"/>
      <c r="H54" s="745"/>
      <c r="I54" s="746"/>
      <c r="J54" s="150"/>
      <c r="K54" s="698">
        <f t="shared" ref="K54:N57" si="4">K55</f>
        <v>5000</v>
      </c>
      <c r="L54" s="166">
        <f t="shared" si="4"/>
        <v>0</v>
      </c>
      <c r="M54" s="166">
        <f t="shared" si="4"/>
        <v>5000</v>
      </c>
      <c r="N54" s="166">
        <f t="shared" si="4"/>
        <v>5000</v>
      </c>
    </row>
    <row r="55" spans="1:14" s="392" customFormat="1" ht="37.5">
      <c r="A55" s="151"/>
      <c r="B55" s="164" t="s">
        <v>753</v>
      </c>
      <c r="C55" s="165" t="s">
        <v>3</v>
      </c>
      <c r="D55" s="150" t="s">
        <v>57</v>
      </c>
      <c r="E55" s="150" t="s">
        <v>88</v>
      </c>
      <c r="F55" s="744" t="s">
        <v>89</v>
      </c>
      <c r="G55" s="745" t="s">
        <v>62</v>
      </c>
      <c r="H55" s="745" t="s">
        <v>63</v>
      </c>
      <c r="I55" s="746" t="s">
        <v>64</v>
      </c>
      <c r="J55" s="150"/>
      <c r="K55" s="698">
        <f t="shared" si="4"/>
        <v>5000</v>
      </c>
      <c r="L55" s="166">
        <f t="shared" si="4"/>
        <v>0</v>
      </c>
      <c r="M55" s="166">
        <f t="shared" si="4"/>
        <v>5000</v>
      </c>
      <c r="N55" s="166">
        <f t="shared" si="4"/>
        <v>5000</v>
      </c>
    </row>
    <row r="56" spans="1:14" s="392" customFormat="1" ht="18.75">
      <c r="A56" s="151"/>
      <c r="B56" s="167" t="s">
        <v>754</v>
      </c>
      <c r="C56" s="165" t="s">
        <v>3</v>
      </c>
      <c r="D56" s="150" t="s">
        <v>57</v>
      </c>
      <c r="E56" s="150" t="s">
        <v>88</v>
      </c>
      <c r="F56" s="744" t="s">
        <v>89</v>
      </c>
      <c r="G56" s="745" t="s">
        <v>65</v>
      </c>
      <c r="H56" s="745" t="s">
        <v>63</v>
      </c>
      <c r="I56" s="746" t="s">
        <v>64</v>
      </c>
      <c r="J56" s="150"/>
      <c r="K56" s="698">
        <f>K57</f>
        <v>5000</v>
      </c>
      <c r="L56" s="166">
        <f>L57</f>
        <v>0</v>
      </c>
      <c r="M56" s="166">
        <f>M57</f>
        <v>5000</v>
      </c>
      <c r="N56" s="166">
        <f>N57</f>
        <v>5000</v>
      </c>
    </row>
    <row r="57" spans="1:14" s="392" customFormat="1" ht="37.5">
      <c r="A57" s="151"/>
      <c r="B57" s="164" t="s">
        <v>752</v>
      </c>
      <c r="C57" s="165" t="s">
        <v>3</v>
      </c>
      <c r="D57" s="150" t="s">
        <v>57</v>
      </c>
      <c r="E57" s="150" t="s">
        <v>88</v>
      </c>
      <c r="F57" s="744" t="s">
        <v>89</v>
      </c>
      <c r="G57" s="745" t="s">
        <v>65</v>
      </c>
      <c r="H57" s="745" t="s">
        <v>63</v>
      </c>
      <c r="I57" s="746" t="s">
        <v>90</v>
      </c>
      <c r="J57" s="150"/>
      <c r="K57" s="698">
        <f t="shared" si="4"/>
        <v>5000</v>
      </c>
      <c r="L57" s="166">
        <f t="shared" si="4"/>
        <v>0</v>
      </c>
      <c r="M57" s="166">
        <f t="shared" si="4"/>
        <v>5000</v>
      </c>
      <c r="N57" s="166">
        <f t="shared" si="4"/>
        <v>5000</v>
      </c>
    </row>
    <row r="58" spans="1:14" s="392" customFormat="1" ht="18.75">
      <c r="A58" s="151"/>
      <c r="B58" s="164" t="s">
        <v>77</v>
      </c>
      <c r="C58" s="165" t="s">
        <v>3</v>
      </c>
      <c r="D58" s="150" t="s">
        <v>57</v>
      </c>
      <c r="E58" s="150" t="s">
        <v>88</v>
      </c>
      <c r="F58" s="744" t="s">
        <v>89</v>
      </c>
      <c r="G58" s="745" t="s">
        <v>65</v>
      </c>
      <c r="H58" s="745" t="s">
        <v>63</v>
      </c>
      <c r="I58" s="746" t="s">
        <v>90</v>
      </c>
      <c r="J58" s="150" t="s">
        <v>78</v>
      </c>
      <c r="K58" s="698">
        <v>5000</v>
      </c>
      <c r="L58" s="166">
        <f>M58-K58</f>
        <v>0</v>
      </c>
      <c r="M58" s="166">
        <v>5000</v>
      </c>
      <c r="N58" s="166">
        <v>5000</v>
      </c>
    </row>
    <row r="59" spans="1:14" s="392" customFormat="1" ht="18.75">
      <c r="A59" s="151"/>
      <c r="B59" s="164" t="s">
        <v>91</v>
      </c>
      <c r="C59" s="165" t="s">
        <v>3</v>
      </c>
      <c r="D59" s="150" t="s">
        <v>57</v>
      </c>
      <c r="E59" s="150" t="s">
        <v>92</v>
      </c>
      <c r="F59" s="744"/>
      <c r="G59" s="745"/>
      <c r="H59" s="745"/>
      <c r="I59" s="746"/>
      <c r="J59" s="150"/>
      <c r="K59" s="698">
        <f>K65+K60</f>
        <v>3991.6000000000004</v>
      </c>
      <c r="L59" s="166">
        <f>L65+L60</f>
        <v>0</v>
      </c>
      <c r="M59" s="166">
        <f>M65+M60</f>
        <v>3991.6000000000004</v>
      </c>
      <c r="N59" s="166">
        <f>N65+N60</f>
        <v>3991.6000000000004</v>
      </c>
    </row>
    <row r="60" spans="1:14" s="392" customFormat="1" ht="75">
      <c r="A60" s="151"/>
      <c r="B60" s="164" t="s">
        <v>93</v>
      </c>
      <c r="C60" s="165" t="s">
        <v>3</v>
      </c>
      <c r="D60" s="150" t="s">
        <v>57</v>
      </c>
      <c r="E60" s="150" t="s">
        <v>92</v>
      </c>
      <c r="F60" s="744" t="s">
        <v>94</v>
      </c>
      <c r="G60" s="745" t="s">
        <v>62</v>
      </c>
      <c r="H60" s="745" t="s">
        <v>63</v>
      </c>
      <c r="I60" s="746" t="s">
        <v>64</v>
      </c>
      <c r="J60" s="150"/>
      <c r="K60" s="698">
        <f t="shared" ref="K60:N63" si="5">K61</f>
        <v>291.89999999999998</v>
      </c>
      <c r="L60" s="166">
        <f t="shared" si="5"/>
        <v>0</v>
      </c>
      <c r="M60" s="166">
        <f t="shared" si="5"/>
        <v>291.89999999999998</v>
      </c>
      <c r="N60" s="166">
        <f t="shared" si="5"/>
        <v>291.89999999999998</v>
      </c>
    </row>
    <row r="61" spans="1:14" s="392" customFormat="1" ht="37.5">
      <c r="A61" s="151"/>
      <c r="B61" s="164" t="s">
        <v>404</v>
      </c>
      <c r="C61" s="165" t="s">
        <v>3</v>
      </c>
      <c r="D61" s="150" t="s">
        <v>57</v>
      </c>
      <c r="E61" s="150" t="s">
        <v>92</v>
      </c>
      <c r="F61" s="744" t="s">
        <v>94</v>
      </c>
      <c r="G61" s="745" t="s">
        <v>65</v>
      </c>
      <c r="H61" s="745" t="s">
        <v>63</v>
      </c>
      <c r="I61" s="746" t="s">
        <v>64</v>
      </c>
      <c r="J61" s="150"/>
      <c r="K61" s="698">
        <f t="shared" si="5"/>
        <v>291.89999999999998</v>
      </c>
      <c r="L61" s="166">
        <f t="shared" si="5"/>
        <v>0</v>
      </c>
      <c r="M61" s="166">
        <f t="shared" si="5"/>
        <v>291.89999999999998</v>
      </c>
      <c r="N61" s="166">
        <f t="shared" si="5"/>
        <v>291.89999999999998</v>
      </c>
    </row>
    <row r="62" spans="1:14" s="392" customFormat="1" ht="56.25">
      <c r="A62" s="151"/>
      <c r="B62" s="167" t="s">
        <v>306</v>
      </c>
      <c r="C62" s="165" t="s">
        <v>3</v>
      </c>
      <c r="D62" s="150" t="s">
        <v>57</v>
      </c>
      <c r="E62" s="150" t="s">
        <v>92</v>
      </c>
      <c r="F62" s="744" t="s">
        <v>94</v>
      </c>
      <c r="G62" s="745" t="s">
        <v>65</v>
      </c>
      <c r="H62" s="745" t="s">
        <v>57</v>
      </c>
      <c r="I62" s="746" t="s">
        <v>64</v>
      </c>
      <c r="J62" s="150"/>
      <c r="K62" s="698">
        <f t="shared" si="5"/>
        <v>291.89999999999998</v>
      </c>
      <c r="L62" s="166">
        <f t="shared" si="5"/>
        <v>0</v>
      </c>
      <c r="M62" s="166">
        <f t="shared" si="5"/>
        <v>291.89999999999998</v>
      </c>
      <c r="N62" s="166">
        <f t="shared" si="5"/>
        <v>291.89999999999998</v>
      </c>
    </row>
    <row r="63" spans="1:14" s="392" customFormat="1" ht="56.25">
      <c r="A63" s="151"/>
      <c r="B63" s="167" t="s">
        <v>95</v>
      </c>
      <c r="C63" s="165" t="s">
        <v>3</v>
      </c>
      <c r="D63" s="150" t="s">
        <v>57</v>
      </c>
      <c r="E63" s="150" t="s">
        <v>92</v>
      </c>
      <c r="F63" s="744" t="s">
        <v>94</v>
      </c>
      <c r="G63" s="745" t="s">
        <v>65</v>
      </c>
      <c r="H63" s="745" t="s">
        <v>57</v>
      </c>
      <c r="I63" s="746" t="s">
        <v>96</v>
      </c>
      <c r="J63" s="150"/>
      <c r="K63" s="698">
        <f t="shared" si="5"/>
        <v>291.89999999999998</v>
      </c>
      <c r="L63" s="166">
        <f t="shared" si="5"/>
        <v>0</v>
      </c>
      <c r="M63" s="166">
        <f t="shared" si="5"/>
        <v>291.89999999999998</v>
      </c>
      <c r="N63" s="166">
        <f t="shared" si="5"/>
        <v>291.89999999999998</v>
      </c>
    </row>
    <row r="64" spans="1:14" s="392" customFormat="1" ht="56.25">
      <c r="A64" s="151"/>
      <c r="B64" s="168" t="s">
        <v>97</v>
      </c>
      <c r="C64" s="165" t="s">
        <v>3</v>
      </c>
      <c r="D64" s="150" t="s">
        <v>57</v>
      </c>
      <c r="E64" s="150" t="s">
        <v>92</v>
      </c>
      <c r="F64" s="744" t="s">
        <v>94</v>
      </c>
      <c r="G64" s="745" t="s">
        <v>65</v>
      </c>
      <c r="H64" s="745" t="s">
        <v>57</v>
      </c>
      <c r="I64" s="746" t="s">
        <v>96</v>
      </c>
      <c r="J64" s="150" t="s">
        <v>98</v>
      </c>
      <c r="K64" s="698">
        <v>291.89999999999998</v>
      </c>
      <c r="L64" s="166">
        <f>M64-K64</f>
        <v>0</v>
      </c>
      <c r="M64" s="166">
        <v>291.89999999999998</v>
      </c>
      <c r="N64" s="166">
        <v>291.89999999999998</v>
      </c>
    </row>
    <row r="65" spans="1:14" s="392" customFormat="1" ht="56.25">
      <c r="A65" s="151"/>
      <c r="B65" s="164" t="s">
        <v>60</v>
      </c>
      <c r="C65" s="165" t="s">
        <v>3</v>
      </c>
      <c r="D65" s="150" t="s">
        <v>57</v>
      </c>
      <c r="E65" s="150" t="s">
        <v>92</v>
      </c>
      <c r="F65" s="744" t="s">
        <v>61</v>
      </c>
      <c r="G65" s="745" t="s">
        <v>62</v>
      </c>
      <c r="H65" s="745" t="s">
        <v>63</v>
      </c>
      <c r="I65" s="746" t="s">
        <v>64</v>
      </c>
      <c r="J65" s="150"/>
      <c r="K65" s="698">
        <f>K66</f>
        <v>3699.7000000000003</v>
      </c>
      <c r="L65" s="166">
        <f>L66</f>
        <v>0</v>
      </c>
      <c r="M65" s="166">
        <f>M66</f>
        <v>3699.7000000000003</v>
      </c>
      <c r="N65" s="166">
        <f>N66</f>
        <v>3699.7000000000003</v>
      </c>
    </row>
    <row r="66" spans="1:14" s="392" customFormat="1" ht="37.5">
      <c r="A66" s="151"/>
      <c r="B66" s="164" t="s">
        <v>404</v>
      </c>
      <c r="C66" s="165" t="s">
        <v>3</v>
      </c>
      <c r="D66" s="150" t="s">
        <v>57</v>
      </c>
      <c r="E66" s="150" t="s">
        <v>92</v>
      </c>
      <c r="F66" s="744" t="s">
        <v>61</v>
      </c>
      <c r="G66" s="745" t="s">
        <v>65</v>
      </c>
      <c r="H66" s="745" t="s">
        <v>63</v>
      </c>
      <c r="I66" s="746" t="s">
        <v>64</v>
      </c>
      <c r="J66" s="150"/>
      <c r="K66" s="698">
        <f>K71+K67+K76+K79</f>
        <v>3699.7000000000003</v>
      </c>
      <c r="L66" s="166">
        <f>L71+L67+L76+L79</f>
        <v>0</v>
      </c>
      <c r="M66" s="166">
        <f>M71+M67+M76+M79</f>
        <v>3699.7000000000003</v>
      </c>
      <c r="N66" s="166">
        <f>N71+N67+N76+N79</f>
        <v>3699.7000000000003</v>
      </c>
    </row>
    <row r="67" spans="1:14" s="392" customFormat="1" ht="18.75">
      <c r="A67" s="151"/>
      <c r="B67" s="168" t="s">
        <v>83</v>
      </c>
      <c r="C67" s="165" t="s">
        <v>3</v>
      </c>
      <c r="D67" s="150" t="s">
        <v>57</v>
      </c>
      <c r="E67" s="150" t="s">
        <v>92</v>
      </c>
      <c r="F67" s="744" t="s">
        <v>61</v>
      </c>
      <c r="G67" s="745" t="s">
        <v>65</v>
      </c>
      <c r="H67" s="745" t="s">
        <v>84</v>
      </c>
      <c r="I67" s="746" t="s">
        <v>64</v>
      </c>
      <c r="J67" s="150"/>
      <c r="K67" s="698">
        <f>K68</f>
        <v>1064.0999999999999</v>
      </c>
      <c r="L67" s="166">
        <f>L68</f>
        <v>0</v>
      </c>
      <c r="M67" s="166">
        <f>M68</f>
        <v>1064.0999999999999</v>
      </c>
      <c r="N67" s="166">
        <f>N68</f>
        <v>1064.0999999999999</v>
      </c>
    </row>
    <row r="68" spans="1:14" s="392" customFormat="1" ht="75">
      <c r="A68" s="151"/>
      <c r="B68" s="168" t="s">
        <v>478</v>
      </c>
      <c r="C68" s="165" t="s">
        <v>3</v>
      </c>
      <c r="D68" s="150" t="s">
        <v>57</v>
      </c>
      <c r="E68" s="150" t="s">
        <v>92</v>
      </c>
      <c r="F68" s="744" t="s">
        <v>61</v>
      </c>
      <c r="G68" s="745" t="s">
        <v>65</v>
      </c>
      <c r="H68" s="745" t="s">
        <v>84</v>
      </c>
      <c r="I68" s="746" t="s">
        <v>477</v>
      </c>
      <c r="J68" s="150"/>
      <c r="K68" s="698">
        <f>K69+K70</f>
        <v>1064.0999999999999</v>
      </c>
      <c r="L68" s="166">
        <f>L69+L70</f>
        <v>0</v>
      </c>
      <c r="M68" s="166">
        <f>M69+M70</f>
        <v>1064.0999999999999</v>
      </c>
      <c r="N68" s="166">
        <f>N69+N70</f>
        <v>1064.0999999999999</v>
      </c>
    </row>
    <row r="69" spans="1:14" s="392" customFormat="1" ht="56.25">
      <c r="A69" s="151"/>
      <c r="B69" s="164" t="s">
        <v>75</v>
      </c>
      <c r="C69" s="165" t="s">
        <v>3</v>
      </c>
      <c r="D69" s="150" t="s">
        <v>57</v>
      </c>
      <c r="E69" s="150" t="s">
        <v>92</v>
      </c>
      <c r="F69" s="744" t="s">
        <v>61</v>
      </c>
      <c r="G69" s="745" t="s">
        <v>65</v>
      </c>
      <c r="H69" s="745" t="s">
        <v>84</v>
      </c>
      <c r="I69" s="746" t="s">
        <v>477</v>
      </c>
      <c r="J69" s="150" t="s">
        <v>76</v>
      </c>
      <c r="K69" s="698">
        <v>833.3</v>
      </c>
      <c r="L69" s="166">
        <f>M69-K69</f>
        <v>0</v>
      </c>
      <c r="M69" s="166">
        <v>833.3</v>
      </c>
      <c r="N69" s="166">
        <v>833.3</v>
      </c>
    </row>
    <row r="70" spans="1:14" s="392" customFormat="1" ht="18.75">
      <c r="A70" s="151"/>
      <c r="B70" s="164" t="s">
        <v>77</v>
      </c>
      <c r="C70" s="165" t="s">
        <v>3</v>
      </c>
      <c r="D70" s="150" t="s">
        <v>57</v>
      </c>
      <c r="E70" s="150" t="s">
        <v>92</v>
      </c>
      <c r="F70" s="744" t="s">
        <v>61</v>
      </c>
      <c r="G70" s="745" t="s">
        <v>65</v>
      </c>
      <c r="H70" s="745" t="s">
        <v>84</v>
      </c>
      <c r="I70" s="746" t="s">
        <v>477</v>
      </c>
      <c r="J70" s="150" t="s">
        <v>78</v>
      </c>
      <c r="K70" s="698">
        <v>230.8</v>
      </c>
      <c r="L70" s="166">
        <f>M70-K70</f>
        <v>0</v>
      </c>
      <c r="M70" s="166">
        <v>230.8</v>
      </c>
      <c r="N70" s="166">
        <v>230.8</v>
      </c>
    </row>
    <row r="71" spans="1:14" s="392" customFormat="1" ht="18.75">
      <c r="A71" s="151"/>
      <c r="B71" s="164" t="s">
        <v>85</v>
      </c>
      <c r="C71" s="165" t="s">
        <v>3</v>
      </c>
      <c r="D71" s="150" t="s">
        <v>57</v>
      </c>
      <c r="E71" s="150" t="s">
        <v>92</v>
      </c>
      <c r="F71" s="744" t="s">
        <v>61</v>
      </c>
      <c r="G71" s="745" t="s">
        <v>65</v>
      </c>
      <c r="H71" s="745" t="s">
        <v>72</v>
      </c>
      <c r="I71" s="746" t="s">
        <v>64</v>
      </c>
      <c r="J71" s="150"/>
      <c r="K71" s="698">
        <f>K72+K74</f>
        <v>2450.2000000000003</v>
      </c>
      <c r="L71" s="166">
        <f>L72+L74</f>
        <v>0</v>
      </c>
      <c r="M71" s="166">
        <f>M72+M74</f>
        <v>2450.2000000000003</v>
      </c>
      <c r="N71" s="166">
        <f>N72+N74</f>
        <v>2450.2000000000003</v>
      </c>
    </row>
    <row r="72" spans="1:14" s="392" customFormat="1" ht="75">
      <c r="A72" s="151"/>
      <c r="B72" s="169" t="s">
        <v>429</v>
      </c>
      <c r="C72" s="165" t="s">
        <v>3</v>
      </c>
      <c r="D72" s="150" t="s">
        <v>57</v>
      </c>
      <c r="E72" s="150" t="s">
        <v>92</v>
      </c>
      <c r="F72" s="744" t="s">
        <v>61</v>
      </c>
      <c r="G72" s="745" t="s">
        <v>65</v>
      </c>
      <c r="H72" s="745" t="s">
        <v>72</v>
      </c>
      <c r="I72" s="746" t="s">
        <v>126</v>
      </c>
      <c r="J72" s="150"/>
      <c r="K72" s="698">
        <f>K73</f>
        <v>475.3</v>
      </c>
      <c r="L72" s="166">
        <f>L73</f>
        <v>0</v>
      </c>
      <c r="M72" s="166">
        <f>M73</f>
        <v>475.3</v>
      </c>
      <c r="N72" s="166">
        <f>N73</f>
        <v>475.3</v>
      </c>
    </row>
    <row r="73" spans="1:14" s="392" customFormat="1" ht="56.25">
      <c r="A73" s="151"/>
      <c r="B73" s="164" t="s">
        <v>75</v>
      </c>
      <c r="C73" s="165" t="s">
        <v>3</v>
      </c>
      <c r="D73" s="150" t="s">
        <v>57</v>
      </c>
      <c r="E73" s="150" t="s">
        <v>92</v>
      </c>
      <c r="F73" s="744" t="s">
        <v>61</v>
      </c>
      <c r="G73" s="745" t="s">
        <v>65</v>
      </c>
      <c r="H73" s="745" t="s">
        <v>72</v>
      </c>
      <c r="I73" s="746" t="s">
        <v>126</v>
      </c>
      <c r="J73" s="150" t="s">
        <v>76</v>
      </c>
      <c r="K73" s="698">
        <v>475.3</v>
      </c>
      <c r="L73" s="166">
        <f>M73-K73</f>
        <v>0</v>
      </c>
      <c r="M73" s="166">
        <v>475.3</v>
      </c>
      <c r="N73" s="166">
        <v>475.3</v>
      </c>
    </row>
    <row r="74" spans="1:14" s="392" customFormat="1" ht="56.25">
      <c r="A74" s="151"/>
      <c r="B74" s="164" t="s">
        <v>431</v>
      </c>
      <c r="C74" s="165" t="s">
        <v>3</v>
      </c>
      <c r="D74" s="150" t="s">
        <v>57</v>
      </c>
      <c r="E74" s="150" t="s">
        <v>92</v>
      </c>
      <c r="F74" s="744" t="s">
        <v>61</v>
      </c>
      <c r="G74" s="745" t="s">
        <v>65</v>
      </c>
      <c r="H74" s="745" t="s">
        <v>72</v>
      </c>
      <c r="I74" s="746" t="s">
        <v>430</v>
      </c>
      <c r="J74" s="150"/>
      <c r="K74" s="698">
        <f>K75</f>
        <v>1974.9</v>
      </c>
      <c r="L74" s="166">
        <f>L75</f>
        <v>0</v>
      </c>
      <c r="M74" s="166">
        <f>M75</f>
        <v>1974.9</v>
      </c>
      <c r="N74" s="166">
        <f>N75</f>
        <v>1974.9</v>
      </c>
    </row>
    <row r="75" spans="1:14" s="392" customFormat="1" ht="56.25">
      <c r="A75" s="151"/>
      <c r="B75" s="164" t="s">
        <v>75</v>
      </c>
      <c r="C75" s="165" t="s">
        <v>3</v>
      </c>
      <c r="D75" s="150" t="s">
        <v>57</v>
      </c>
      <c r="E75" s="150" t="s">
        <v>92</v>
      </c>
      <c r="F75" s="744" t="s">
        <v>61</v>
      </c>
      <c r="G75" s="745" t="s">
        <v>65</v>
      </c>
      <c r="H75" s="745" t="s">
        <v>72</v>
      </c>
      <c r="I75" s="746" t="s">
        <v>430</v>
      </c>
      <c r="J75" s="150" t="s">
        <v>76</v>
      </c>
      <c r="K75" s="698">
        <v>1974.9</v>
      </c>
      <c r="L75" s="166">
        <f>M75-K75</f>
        <v>0</v>
      </c>
      <c r="M75" s="166">
        <v>1974.9</v>
      </c>
      <c r="N75" s="166">
        <v>1974.9</v>
      </c>
    </row>
    <row r="76" spans="1:14" s="392" customFormat="1" ht="37.5">
      <c r="A76" s="151"/>
      <c r="B76" s="164" t="s">
        <v>818</v>
      </c>
      <c r="C76" s="165" t="s">
        <v>3</v>
      </c>
      <c r="D76" s="150" t="s">
        <v>57</v>
      </c>
      <c r="E76" s="150" t="s">
        <v>92</v>
      </c>
      <c r="F76" s="744" t="s">
        <v>61</v>
      </c>
      <c r="G76" s="745" t="s">
        <v>65</v>
      </c>
      <c r="H76" s="745" t="s">
        <v>586</v>
      </c>
      <c r="I76" s="746" t="s">
        <v>64</v>
      </c>
      <c r="J76" s="150"/>
      <c r="K76" s="698">
        <f t="shared" ref="K76:N77" si="6">K77</f>
        <v>148</v>
      </c>
      <c r="L76" s="166">
        <f t="shared" si="6"/>
        <v>0</v>
      </c>
      <c r="M76" s="166">
        <f t="shared" si="6"/>
        <v>148</v>
      </c>
      <c r="N76" s="166">
        <f t="shared" si="6"/>
        <v>148</v>
      </c>
    </row>
    <row r="77" spans="1:14" s="392" customFormat="1" ht="37.5">
      <c r="A77" s="151"/>
      <c r="B77" s="169" t="s">
        <v>819</v>
      </c>
      <c r="C77" s="165" t="s">
        <v>3</v>
      </c>
      <c r="D77" s="150" t="s">
        <v>57</v>
      </c>
      <c r="E77" s="150" t="s">
        <v>92</v>
      </c>
      <c r="F77" s="744" t="s">
        <v>61</v>
      </c>
      <c r="G77" s="745" t="s">
        <v>65</v>
      </c>
      <c r="H77" s="745" t="s">
        <v>586</v>
      </c>
      <c r="I77" s="746" t="s">
        <v>111</v>
      </c>
      <c r="J77" s="150"/>
      <c r="K77" s="698">
        <f t="shared" si="6"/>
        <v>148</v>
      </c>
      <c r="L77" s="166">
        <f t="shared" si="6"/>
        <v>0</v>
      </c>
      <c r="M77" s="166">
        <f t="shared" si="6"/>
        <v>148</v>
      </c>
      <c r="N77" s="166">
        <f t="shared" si="6"/>
        <v>148</v>
      </c>
    </row>
    <row r="78" spans="1:14" s="392" customFormat="1" ht="56.25">
      <c r="A78" s="151"/>
      <c r="B78" s="164" t="s">
        <v>75</v>
      </c>
      <c r="C78" s="165" t="s">
        <v>3</v>
      </c>
      <c r="D78" s="150" t="s">
        <v>57</v>
      </c>
      <c r="E78" s="150" t="s">
        <v>92</v>
      </c>
      <c r="F78" s="744" t="s">
        <v>61</v>
      </c>
      <c r="G78" s="745" t="s">
        <v>65</v>
      </c>
      <c r="H78" s="745" t="s">
        <v>586</v>
      </c>
      <c r="I78" s="746" t="s">
        <v>111</v>
      </c>
      <c r="J78" s="150" t="s">
        <v>76</v>
      </c>
      <c r="K78" s="698">
        <v>148</v>
      </c>
      <c r="L78" s="166">
        <f>M78-K78</f>
        <v>0</v>
      </c>
      <c r="M78" s="166">
        <v>148</v>
      </c>
      <c r="N78" s="166">
        <v>148</v>
      </c>
    </row>
    <row r="79" spans="1:14" s="392" customFormat="1" ht="37.5">
      <c r="A79" s="151"/>
      <c r="B79" s="164" t="s">
        <v>804</v>
      </c>
      <c r="C79" s="165" t="s">
        <v>3</v>
      </c>
      <c r="D79" s="150" t="s">
        <v>57</v>
      </c>
      <c r="E79" s="150" t="s">
        <v>92</v>
      </c>
      <c r="F79" s="744" t="s">
        <v>61</v>
      </c>
      <c r="G79" s="745" t="s">
        <v>65</v>
      </c>
      <c r="H79" s="745" t="s">
        <v>61</v>
      </c>
      <c r="I79" s="746" t="s">
        <v>64</v>
      </c>
      <c r="J79" s="150"/>
      <c r="K79" s="698">
        <f t="shared" ref="K79:N80" si="7">K80</f>
        <v>37.4</v>
      </c>
      <c r="L79" s="166">
        <f t="shared" si="7"/>
        <v>0</v>
      </c>
      <c r="M79" s="166">
        <f t="shared" si="7"/>
        <v>37.4</v>
      </c>
      <c r="N79" s="166">
        <f t="shared" si="7"/>
        <v>37.4</v>
      </c>
    </row>
    <row r="80" spans="1:14" s="392" customFormat="1" ht="18.75">
      <c r="A80" s="151"/>
      <c r="B80" s="169" t="s">
        <v>802</v>
      </c>
      <c r="C80" s="165" t="s">
        <v>3</v>
      </c>
      <c r="D80" s="150" t="s">
        <v>57</v>
      </c>
      <c r="E80" s="150" t="s">
        <v>92</v>
      </c>
      <c r="F80" s="744" t="s">
        <v>61</v>
      </c>
      <c r="G80" s="745" t="s">
        <v>65</v>
      </c>
      <c r="H80" s="745" t="s">
        <v>61</v>
      </c>
      <c r="I80" s="746" t="s">
        <v>803</v>
      </c>
      <c r="J80" s="150"/>
      <c r="K80" s="698">
        <f t="shared" si="7"/>
        <v>37.4</v>
      </c>
      <c r="L80" s="166">
        <f t="shared" si="7"/>
        <v>0</v>
      </c>
      <c r="M80" s="166">
        <f t="shared" si="7"/>
        <v>37.4</v>
      </c>
      <c r="N80" s="166">
        <f t="shared" si="7"/>
        <v>37.4</v>
      </c>
    </row>
    <row r="81" spans="1:14" s="392" customFormat="1" ht="56.25">
      <c r="A81" s="151"/>
      <c r="B81" s="164" t="s">
        <v>75</v>
      </c>
      <c r="C81" s="165" t="s">
        <v>3</v>
      </c>
      <c r="D81" s="150" t="s">
        <v>57</v>
      </c>
      <c r="E81" s="150" t="s">
        <v>92</v>
      </c>
      <c r="F81" s="744" t="s">
        <v>61</v>
      </c>
      <c r="G81" s="745" t="s">
        <v>65</v>
      </c>
      <c r="H81" s="745" t="s">
        <v>61</v>
      </c>
      <c r="I81" s="746" t="s">
        <v>803</v>
      </c>
      <c r="J81" s="150" t="s">
        <v>76</v>
      </c>
      <c r="K81" s="698">
        <v>37.4</v>
      </c>
      <c r="L81" s="166">
        <f>M81-K81</f>
        <v>0</v>
      </c>
      <c r="M81" s="166">
        <v>37.4</v>
      </c>
      <c r="N81" s="166">
        <v>37.4</v>
      </c>
    </row>
    <row r="82" spans="1:14" s="392" customFormat="1" ht="37.5">
      <c r="A82" s="151"/>
      <c r="B82" s="164" t="s">
        <v>99</v>
      </c>
      <c r="C82" s="165" t="s">
        <v>3</v>
      </c>
      <c r="D82" s="150" t="s">
        <v>84</v>
      </c>
      <c r="E82" s="150"/>
      <c r="F82" s="744"/>
      <c r="G82" s="745"/>
      <c r="H82" s="745"/>
      <c r="I82" s="746"/>
      <c r="J82" s="150"/>
      <c r="K82" s="698">
        <f>K83+K93</f>
        <v>12548</v>
      </c>
      <c r="L82" s="166">
        <f>L83+L93</f>
        <v>0</v>
      </c>
      <c r="M82" s="166">
        <f>M83+M93</f>
        <v>12548</v>
      </c>
      <c r="N82" s="166">
        <f>N83+N93</f>
        <v>12548.4</v>
      </c>
    </row>
    <row r="83" spans="1:14" s="392" customFormat="1" ht="78.75" customHeight="1">
      <c r="A83" s="151"/>
      <c r="B83" s="544" t="s">
        <v>797</v>
      </c>
      <c r="C83" s="165" t="s">
        <v>3</v>
      </c>
      <c r="D83" s="150" t="s">
        <v>84</v>
      </c>
      <c r="E83" s="150" t="s">
        <v>125</v>
      </c>
      <c r="F83" s="744"/>
      <c r="G83" s="745"/>
      <c r="H83" s="745"/>
      <c r="I83" s="746"/>
      <c r="J83" s="150"/>
      <c r="K83" s="698">
        <f t="shared" ref="K83:N85" si="8">K84</f>
        <v>3437.6000000000004</v>
      </c>
      <c r="L83" s="166">
        <f t="shared" si="8"/>
        <v>0</v>
      </c>
      <c r="M83" s="166">
        <f t="shared" si="8"/>
        <v>3437.6000000000004</v>
      </c>
      <c r="N83" s="166">
        <f t="shared" si="8"/>
        <v>3437.6000000000004</v>
      </c>
    </row>
    <row r="84" spans="1:14" s="392" customFormat="1" ht="58.5" customHeight="1">
      <c r="A84" s="151"/>
      <c r="B84" s="164" t="s">
        <v>101</v>
      </c>
      <c r="C84" s="165" t="s">
        <v>3</v>
      </c>
      <c r="D84" s="150" t="s">
        <v>84</v>
      </c>
      <c r="E84" s="150" t="s">
        <v>125</v>
      </c>
      <c r="F84" s="744" t="s">
        <v>102</v>
      </c>
      <c r="G84" s="745" t="s">
        <v>62</v>
      </c>
      <c r="H84" s="745" t="s">
        <v>63</v>
      </c>
      <c r="I84" s="746" t="s">
        <v>64</v>
      </c>
      <c r="J84" s="150"/>
      <c r="K84" s="698">
        <f t="shared" si="8"/>
        <v>3437.6000000000004</v>
      </c>
      <c r="L84" s="166">
        <f t="shared" si="8"/>
        <v>0</v>
      </c>
      <c r="M84" s="166">
        <f t="shared" si="8"/>
        <v>3437.6000000000004</v>
      </c>
      <c r="N84" s="166">
        <f t="shared" si="8"/>
        <v>3437.6000000000004</v>
      </c>
    </row>
    <row r="85" spans="1:14" s="392" customFormat="1" ht="59.25" customHeight="1">
      <c r="A85" s="151"/>
      <c r="B85" s="170" t="s">
        <v>103</v>
      </c>
      <c r="C85" s="165" t="s">
        <v>3</v>
      </c>
      <c r="D85" s="150" t="s">
        <v>84</v>
      </c>
      <c r="E85" s="150" t="s">
        <v>125</v>
      </c>
      <c r="F85" s="744" t="s">
        <v>102</v>
      </c>
      <c r="G85" s="745" t="s">
        <v>65</v>
      </c>
      <c r="H85" s="745" t="s">
        <v>63</v>
      </c>
      <c r="I85" s="746" t="s">
        <v>64</v>
      </c>
      <c r="J85" s="150"/>
      <c r="K85" s="698">
        <f t="shared" si="8"/>
        <v>3437.6000000000004</v>
      </c>
      <c r="L85" s="166">
        <f t="shared" si="8"/>
        <v>0</v>
      </c>
      <c r="M85" s="166">
        <f t="shared" si="8"/>
        <v>3437.6000000000004</v>
      </c>
      <c r="N85" s="166">
        <f t="shared" si="8"/>
        <v>3437.6000000000004</v>
      </c>
    </row>
    <row r="86" spans="1:14" s="392" customFormat="1" ht="77.25" customHeight="1">
      <c r="A86" s="151"/>
      <c r="B86" s="164" t="s">
        <v>104</v>
      </c>
      <c r="C86" s="165" t="s">
        <v>3</v>
      </c>
      <c r="D86" s="150" t="s">
        <v>84</v>
      </c>
      <c r="E86" s="150" t="s">
        <v>125</v>
      </c>
      <c r="F86" s="744" t="s">
        <v>102</v>
      </c>
      <c r="G86" s="745" t="s">
        <v>65</v>
      </c>
      <c r="H86" s="745" t="s">
        <v>57</v>
      </c>
      <c r="I86" s="746" t="s">
        <v>64</v>
      </c>
      <c r="J86" s="150"/>
      <c r="K86" s="698">
        <f>K87+K89+K91</f>
        <v>3437.6000000000004</v>
      </c>
      <c r="L86" s="166">
        <f>L87+L89+L91</f>
        <v>0</v>
      </c>
      <c r="M86" s="166">
        <f>M87+M89+M91</f>
        <v>3437.6000000000004</v>
      </c>
      <c r="N86" s="166">
        <f>N87+N89+N91</f>
        <v>3437.6000000000004</v>
      </c>
    </row>
    <row r="87" spans="1:14" s="392" customFormat="1" ht="37.5">
      <c r="A87" s="151"/>
      <c r="B87" s="170" t="s">
        <v>759</v>
      </c>
      <c r="C87" s="165" t="s">
        <v>3</v>
      </c>
      <c r="D87" s="150" t="s">
        <v>84</v>
      </c>
      <c r="E87" s="150" t="s">
        <v>125</v>
      </c>
      <c r="F87" s="744" t="s">
        <v>102</v>
      </c>
      <c r="G87" s="745" t="s">
        <v>65</v>
      </c>
      <c r="H87" s="745" t="s">
        <v>57</v>
      </c>
      <c r="I87" s="746" t="s">
        <v>105</v>
      </c>
      <c r="J87" s="150"/>
      <c r="K87" s="698">
        <f>K88</f>
        <v>298.39999999999998</v>
      </c>
      <c r="L87" s="166">
        <f>L88</f>
        <v>0</v>
      </c>
      <c r="M87" s="166">
        <f>M88</f>
        <v>298.39999999999998</v>
      </c>
      <c r="N87" s="166">
        <f>N88</f>
        <v>298.39999999999998</v>
      </c>
    </row>
    <row r="88" spans="1:14" s="392" customFormat="1" ht="56.25">
      <c r="A88" s="151"/>
      <c r="B88" s="164" t="s">
        <v>75</v>
      </c>
      <c r="C88" s="165" t="s">
        <v>3</v>
      </c>
      <c r="D88" s="150" t="s">
        <v>84</v>
      </c>
      <c r="E88" s="150" t="s">
        <v>125</v>
      </c>
      <c r="F88" s="744" t="s">
        <v>102</v>
      </c>
      <c r="G88" s="745" t="s">
        <v>65</v>
      </c>
      <c r="H88" s="745" t="s">
        <v>57</v>
      </c>
      <c r="I88" s="746" t="s">
        <v>105</v>
      </c>
      <c r="J88" s="150" t="s">
        <v>76</v>
      </c>
      <c r="K88" s="698">
        <v>298.39999999999998</v>
      </c>
      <c r="L88" s="166">
        <f>M88-K88</f>
        <v>0</v>
      </c>
      <c r="M88" s="166">
        <v>298.39999999999998</v>
      </c>
      <c r="N88" s="166">
        <v>298.39999999999998</v>
      </c>
    </row>
    <row r="89" spans="1:14" s="392" customFormat="1" ht="56.25">
      <c r="A89" s="151"/>
      <c r="B89" s="164" t="s">
        <v>106</v>
      </c>
      <c r="C89" s="165" t="s">
        <v>3</v>
      </c>
      <c r="D89" s="150" t="s">
        <v>84</v>
      </c>
      <c r="E89" s="150" t="s">
        <v>125</v>
      </c>
      <c r="F89" s="744" t="s">
        <v>102</v>
      </c>
      <c r="G89" s="745" t="s">
        <v>65</v>
      </c>
      <c r="H89" s="745" t="s">
        <v>57</v>
      </c>
      <c r="I89" s="746" t="s">
        <v>107</v>
      </c>
      <c r="J89" s="150"/>
      <c r="K89" s="698">
        <f>K90</f>
        <v>63.9</v>
      </c>
      <c r="L89" s="166">
        <f>L90</f>
        <v>0</v>
      </c>
      <c r="M89" s="166">
        <f>M90</f>
        <v>63.9</v>
      </c>
      <c r="N89" s="166">
        <f>N90</f>
        <v>63.9</v>
      </c>
    </row>
    <row r="90" spans="1:14" s="392" customFormat="1" ht="56.25">
      <c r="A90" s="151"/>
      <c r="B90" s="164" t="s">
        <v>75</v>
      </c>
      <c r="C90" s="165" t="s">
        <v>3</v>
      </c>
      <c r="D90" s="150" t="s">
        <v>84</v>
      </c>
      <c r="E90" s="150" t="s">
        <v>125</v>
      </c>
      <c r="F90" s="744" t="s">
        <v>102</v>
      </c>
      <c r="G90" s="745" t="s">
        <v>65</v>
      </c>
      <c r="H90" s="745" t="s">
        <v>57</v>
      </c>
      <c r="I90" s="746" t="s">
        <v>107</v>
      </c>
      <c r="J90" s="150" t="s">
        <v>76</v>
      </c>
      <c r="K90" s="698">
        <v>63.9</v>
      </c>
      <c r="L90" s="166">
        <f>M90-K90</f>
        <v>0</v>
      </c>
      <c r="M90" s="166">
        <v>63.9</v>
      </c>
      <c r="N90" s="166">
        <v>63.9</v>
      </c>
    </row>
    <row r="91" spans="1:14" s="392" customFormat="1" ht="97.5" customHeight="1">
      <c r="A91" s="151"/>
      <c r="B91" s="164" t="s">
        <v>405</v>
      </c>
      <c r="C91" s="165" t="s">
        <v>3</v>
      </c>
      <c r="D91" s="150" t="s">
        <v>84</v>
      </c>
      <c r="E91" s="150" t="s">
        <v>125</v>
      </c>
      <c r="F91" s="744" t="s">
        <v>102</v>
      </c>
      <c r="G91" s="745" t="s">
        <v>65</v>
      </c>
      <c r="H91" s="745" t="s">
        <v>57</v>
      </c>
      <c r="I91" s="746" t="s">
        <v>393</v>
      </c>
      <c r="J91" s="150"/>
      <c r="K91" s="698">
        <f>K92</f>
        <v>3075.3</v>
      </c>
      <c r="L91" s="166">
        <f>L92</f>
        <v>0</v>
      </c>
      <c r="M91" s="166">
        <f>M92</f>
        <v>3075.3</v>
      </c>
      <c r="N91" s="166">
        <f>N92</f>
        <v>3075.3</v>
      </c>
    </row>
    <row r="92" spans="1:14" s="392" customFormat="1" ht="18.75">
      <c r="A92" s="151"/>
      <c r="B92" s="164" t="s">
        <v>144</v>
      </c>
      <c r="C92" s="165" t="s">
        <v>3</v>
      </c>
      <c r="D92" s="150" t="s">
        <v>84</v>
      </c>
      <c r="E92" s="150" t="s">
        <v>125</v>
      </c>
      <c r="F92" s="744" t="s">
        <v>102</v>
      </c>
      <c r="G92" s="745" t="s">
        <v>65</v>
      </c>
      <c r="H92" s="745" t="s">
        <v>57</v>
      </c>
      <c r="I92" s="746" t="s">
        <v>393</v>
      </c>
      <c r="J92" s="150" t="s">
        <v>145</v>
      </c>
      <c r="K92" s="698">
        <v>3075.3</v>
      </c>
      <c r="L92" s="166">
        <f>M92-K92</f>
        <v>0</v>
      </c>
      <c r="M92" s="166">
        <v>3075.3</v>
      </c>
      <c r="N92" s="166">
        <v>3075.3</v>
      </c>
    </row>
    <row r="93" spans="1:14" s="392" customFormat="1" ht="56.25">
      <c r="A93" s="151"/>
      <c r="B93" s="169" t="s">
        <v>108</v>
      </c>
      <c r="C93" s="165" t="s">
        <v>3</v>
      </c>
      <c r="D93" s="150" t="s">
        <v>84</v>
      </c>
      <c r="E93" s="150" t="s">
        <v>109</v>
      </c>
      <c r="F93" s="744"/>
      <c r="G93" s="745"/>
      <c r="H93" s="745"/>
      <c r="I93" s="746"/>
      <c r="J93" s="150"/>
      <c r="K93" s="698">
        <f t="shared" ref="K93:N93" si="9">K94</f>
        <v>9110.4</v>
      </c>
      <c r="L93" s="166">
        <f t="shared" si="9"/>
        <v>0</v>
      </c>
      <c r="M93" s="166">
        <f t="shared" si="9"/>
        <v>9110.4</v>
      </c>
      <c r="N93" s="166">
        <f t="shared" si="9"/>
        <v>9110.7999999999993</v>
      </c>
    </row>
    <row r="94" spans="1:14" s="392" customFormat="1" ht="57.75" customHeight="1">
      <c r="A94" s="151"/>
      <c r="B94" s="164" t="s">
        <v>101</v>
      </c>
      <c r="C94" s="165" t="s">
        <v>3</v>
      </c>
      <c r="D94" s="150" t="s">
        <v>84</v>
      </c>
      <c r="E94" s="150" t="s">
        <v>109</v>
      </c>
      <c r="F94" s="744" t="s">
        <v>102</v>
      </c>
      <c r="G94" s="745" t="s">
        <v>62</v>
      </c>
      <c r="H94" s="745" t="s">
        <v>63</v>
      </c>
      <c r="I94" s="746" t="s">
        <v>64</v>
      </c>
      <c r="J94" s="150"/>
      <c r="K94" s="698">
        <f>K102+K95</f>
        <v>9110.4</v>
      </c>
      <c r="L94" s="166">
        <f>L102+L95</f>
        <v>0</v>
      </c>
      <c r="M94" s="166">
        <f>M102+M95</f>
        <v>9110.4</v>
      </c>
      <c r="N94" s="166">
        <f>N102+N95</f>
        <v>9110.7999999999993</v>
      </c>
    </row>
    <row r="95" spans="1:14" s="392" customFormat="1" ht="39.75" customHeight="1">
      <c r="A95" s="151"/>
      <c r="B95" s="169" t="s">
        <v>146</v>
      </c>
      <c r="C95" s="165" t="s">
        <v>3</v>
      </c>
      <c r="D95" s="150" t="s">
        <v>84</v>
      </c>
      <c r="E95" s="150" t="s">
        <v>109</v>
      </c>
      <c r="F95" s="744" t="s">
        <v>102</v>
      </c>
      <c r="G95" s="745" t="s">
        <v>110</v>
      </c>
      <c r="H95" s="745" t="s">
        <v>63</v>
      </c>
      <c r="I95" s="746" t="s">
        <v>64</v>
      </c>
      <c r="J95" s="150"/>
      <c r="K95" s="698">
        <f>K96+K99</f>
        <v>262.3</v>
      </c>
      <c r="L95" s="166">
        <f>L96+L99</f>
        <v>0</v>
      </c>
      <c r="M95" s="166">
        <f>M96+M99</f>
        <v>262.3</v>
      </c>
      <c r="N95" s="166">
        <f>N96+N99</f>
        <v>262.3</v>
      </c>
    </row>
    <row r="96" spans="1:14" s="392" customFormat="1" ht="39" customHeight="1">
      <c r="A96" s="151"/>
      <c r="B96" s="169" t="s">
        <v>311</v>
      </c>
      <c r="C96" s="165" t="s">
        <v>3</v>
      </c>
      <c r="D96" s="150" t="s">
        <v>84</v>
      </c>
      <c r="E96" s="150" t="s">
        <v>109</v>
      </c>
      <c r="F96" s="744" t="s">
        <v>102</v>
      </c>
      <c r="G96" s="745" t="s">
        <v>110</v>
      </c>
      <c r="H96" s="745" t="s">
        <v>57</v>
      </c>
      <c r="I96" s="746" t="s">
        <v>64</v>
      </c>
      <c r="J96" s="150"/>
      <c r="K96" s="698">
        <f t="shared" ref="K96:N97" si="10">K97</f>
        <v>21.6</v>
      </c>
      <c r="L96" s="166">
        <f t="shared" si="10"/>
        <v>0</v>
      </c>
      <c r="M96" s="166">
        <f t="shared" si="10"/>
        <v>21.6</v>
      </c>
      <c r="N96" s="166">
        <f t="shared" si="10"/>
        <v>21.6</v>
      </c>
    </row>
    <row r="97" spans="1:14" s="392" customFormat="1" ht="36" customHeight="1">
      <c r="A97" s="151"/>
      <c r="B97" s="167" t="s">
        <v>148</v>
      </c>
      <c r="C97" s="165" t="s">
        <v>3</v>
      </c>
      <c r="D97" s="150" t="s">
        <v>84</v>
      </c>
      <c r="E97" s="150" t="s">
        <v>109</v>
      </c>
      <c r="F97" s="744" t="s">
        <v>102</v>
      </c>
      <c r="G97" s="745" t="s">
        <v>110</v>
      </c>
      <c r="H97" s="745" t="s">
        <v>57</v>
      </c>
      <c r="I97" s="746" t="s">
        <v>111</v>
      </c>
      <c r="J97" s="150"/>
      <c r="K97" s="698">
        <f t="shared" si="10"/>
        <v>21.6</v>
      </c>
      <c r="L97" s="166">
        <f t="shared" si="10"/>
        <v>0</v>
      </c>
      <c r="M97" s="166">
        <f t="shared" si="10"/>
        <v>21.6</v>
      </c>
      <c r="N97" s="166">
        <f t="shared" si="10"/>
        <v>21.6</v>
      </c>
    </row>
    <row r="98" spans="1:14" s="392" customFormat="1" ht="57.75" customHeight="1">
      <c r="A98" s="151"/>
      <c r="B98" s="164" t="s">
        <v>75</v>
      </c>
      <c r="C98" s="165" t="s">
        <v>3</v>
      </c>
      <c r="D98" s="150" t="s">
        <v>84</v>
      </c>
      <c r="E98" s="150" t="s">
        <v>109</v>
      </c>
      <c r="F98" s="744" t="s">
        <v>102</v>
      </c>
      <c r="G98" s="745" t="s">
        <v>110</v>
      </c>
      <c r="H98" s="745" t="s">
        <v>57</v>
      </c>
      <c r="I98" s="746" t="s">
        <v>111</v>
      </c>
      <c r="J98" s="150" t="s">
        <v>76</v>
      </c>
      <c r="K98" s="698">
        <v>21.6</v>
      </c>
      <c r="L98" s="166">
        <f>M98-K98</f>
        <v>0</v>
      </c>
      <c r="M98" s="166">
        <v>21.6</v>
      </c>
      <c r="N98" s="166">
        <v>21.6</v>
      </c>
    </row>
    <row r="99" spans="1:14" s="392" customFormat="1" ht="57.75" customHeight="1">
      <c r="A99" s="151"/>
      <c r="B99" s="167" t="s">
        <v>147</v>
      </c>
      <c r="C99" s="165" t="s">
        <v>3</v>
      </c>
      <c r="D99" s="150" t="s">
        <v>84</v>
      </c>
      <c r="E99" s="150" t="s">
        <v>109</v>
      </c>
      <c r="F99" s="744" t="s">
        <v>102</v>
      </c>
      <c r="G99" s="745" t="s">
        <v>110</v>
      </c>
      <c r="H99" s="745" t="s">
        <v>59</v>
      </c>
      <c r="I99" s="746" t="s">
        <v>64</v>
      </c>
      <c r="J99" s="150"/>
      <c r="K99" s="698">
        <f t="shared" ref="K99:N100" si="11">K100</f>
        <v>240.7</v>
      </c>
      <c r="L99" s="166">
        <f t="shared" si="11"/>
        <v>0</v>
      </c>
      <c r="M99" s="166">
        <f t="shared" si="11"/>
        <v>240.7</v>
      </c>
      <c r="N99" s="166">
        <f t="shared" si="11"/>
        <v>240.7</v>
      </c>
    </row>
    <row r="100" spans="1:14" s="392" customFormat="1" ht="31.5" customHeight="1">
      <c r="A100" s="151"/>
      <c r="B100" s="167" t="s">
        <v>148</v>
      </c>
      <c r="C100" s="165" t="s">
        <v>3</v>
      </c>
      <c r="D100" s="150" t="s">
        <v>84</v>
      </c>
      <c r="E100" s="150" t="s">
        <v>109</v>
      </c>
      <c r="F100" s="744" t="s">
        <v>102</v>
      </c>
      <c r="G100" s="745" t="s">
        <v>110</v>
      </c>
      <c r="H100" s="745" t="s">
        <v>59</v>
      </c>
      <c r="I100" s="746" t="s">
        <v>111</v>
      </c>
      <c r="J100" s="150"/>
      <c r="K100" s="698">
        <f t="shared" si="11"/>
        <v>240.7</v>
      </c>
      <c r="L100" s="166">
        <f t="shared" si="11"/>
        <v>0</v>
      </c>
      <c r="M100" s="166">
        <f t="shared" si="11"/>
        <v>240.7</v>
      </c>
      <c r="N100" s="166">
        <f t="shared" si="11"/>
        <v>240.7</v>
      </c>
    </row>
    <row r="101" spans="1:14" s="392" customFormat="1" ht="57.75" customHeight="1">
      <c r="A101" s="151"/>
      <c r="B101" s="164" t="s">
        <v>75</v>
      </c>
      <c r="C101" s="165" t="s">
        <v>3</v>
      </c>
      <c r="D101" s="150" t="s">
        <v>84</v>
      </c>
      <c r="E101" s="150" t="s">
        <v>109</v>
      </c>
      <c r="F101" s="744" t="s">
        <v>102</v>
      </c>
      <c r="G101" s="745" t="s">
        <v>110</v>
      </c>
      <c r="H101" s="745" t="s">
        <v>59</v>
      </c>
      <c r="I101" s="746" t="s">
        <v>111</v>
      </c>
      <c r="J101" s="150" t="s">
        <v>76</v>
      </c>
      <c r="K101" s="698">
        <v>240.7</v>
      </c>
      <c r="L101" s="166">
        <f>M101-K101</f>
        <v>0</v>
      </c>
      <c r="M101" s="166">
        <v>240.7</v>
      </c>
      <c r="N101" s="166">
        <v>240.7</v>
      </c>
    </row>
    <row r="102" spans="1:14" s="392" customFormat="1" ht="75">
      <c r="A102" s="151"/>
      <c r="B102" s="169" t="s">
        <v>453</v>
      </c>
      <c r="C102" s="165" t="s">
        <v>3</v>
      </c>
      <c r="D102" s="150" t="s">
        <v>84</v>
      </c>
      <c r="E102" s="150" t="s">
        <v>109</v>
      </c>
      <c r="F102" s="744" t="s">
        <v>102</v>
      </c>
      <c r="G102" s="745" t="s">
        <v>50</v>
      </c>
      <c r="H102" s="745" t="s">
        <v>63</v>
      </c>
      <c r="I102" s="746" t="s">
        <v>64</v>
      </c>
      <c r="J102" s="150"/>
      <c r="K102" s="698">
        <f t="shared" ref="K102:N103" si="12">K103</f>
        <v>8848.1</v>
      </c>
      <c r="L102" s="166">
        <f t="shared" si="12"/>
        <v>0</v>
      </c>
      <c r="M102" s="166">
        <f t="shared" si="12"/>
        <v>8848.1</v>
      </c>
      <c r="N102" s="166">
        <f t="shared" si="12"/>
        <v>8848.5</v>
      </c>
    </row>
    <row r="103" spans="1:14" s="392" customFormat="1" ht="78.75" customHeight="1">
      <c r="A103" s="151"/>
      <c r="B103" s="167" t="s">
        <v>386</v>
      </c>
      <c r="C103" s="165" t="s">
        <v>3</v>
      </c>
      <c r="D103" s="150" t="s">
        <v>84</v>
      </c>
      <c r="E103" s="150" t="s">
        <v>109</v>
      </c>
      <c r="F103" s="744" t="s">
        <v>102</v>
      </c>
      <c r="G103" s="745" t="s">
        <v>50</v>
      </c>
      <c r="H103" s="745" t="s">
        <v>57</v>
      </c>
      <c r="I103" s="746" t="s">
        <v>64</v>
      </c>
      <c r="J103" s="150"/>
      <c r="K103" s="698">
        <f t="shared" si="12"/>
        <v>8848.1</v>
      </c>
      <c r="L103" s="166">
        <f t="shared" si="12"/>
        <v>0</v>
      </c>
      <c r="M103" s="166">
        <f t="shared" si="12"/>
        <v>8848.1</v>
      </c>
      <c r="N103" s="166">
        <f t="shared" si="12"/>
        <v>8848.5</v>
      </c>
    </row>
    <row r="104" spans="1:14" s="392" customFormat="1" ht="38.25" customHeight="1">
      <c r="A104" s="151"/>
      <c r="B104" s="304" t="s">
        <v>800</v>
      </c>
      <c r="C104" s="165" t="s">
        <v>3</v>
      </c>
      <c r="D104" s="150" t="s">
        <v>84</v>
      </c>
      <c r="E104" s="150" t="s">
        <v>109</v>
      </c>
      <c r="F104" s="744" t="s">
        <v>102</v>
      </c>
      <c r="G104" s="745" t="s">
        <v>50</v>
      </c>
      <c r="H104" s="745" t="s">
        <v>57</v>
      </c>
      <c r="I104" s="746" t="s">
        <v>112</v>
      </c>
      <c r="J104" s="150"/>
      <c r="K104" s="698">
        <f>K105+K106+K107</f>
        <v>8848.1</v>
      </c>
      <c r="L104" s="166">
        <f>L105+L106+L107</f>
        <v>0</v>
      </c>
      <c r="M104" s="166">
        <f>M105+M106+M107</f>
        <v>8848.1</v>
      </c>
      <c r="N104" s="166">
        <f>N105+N106+N107</f>
        <v>8848.5</v>
      </c>
    </row>
    <row r="105" spans="1:14" s="392" customFormat="1" ht="112.5">
      <c r="A105" s="151"/>
      <c r="B105" s="164" t="s">
        <v>69</v>
      </c>
      <c r="C105" s="165" t="s">
        <v>3</v>
      </c>
      <c r="D105" s="150" t="s">
        <v>84</v>
      </c>
      <c r="E105" s="150" t="s">
        <v>109</v>
      </c>
      <c r="F105" s="744" t="s">
        <v>102</v>
      </c>
      <c r="G105" s="745" t="s">
        <v>50</v>
      </c>
      <c r="H105" s="745" t="s">
        <v>57</v>
      </c>
      <c r="I105" s="746" t="s">
        <v>112</v>
      </c>
      <c r="J105" s="150" t="s">
        <v>70</v>
      </c>
      <c r="K105" s="698">
        <v>7482.1</v>
      </c>
      <c r="L105" s="166">
        <f>M105-K105</f>
        <v>0</v>
      </c>
      <c r="M105" s="166">
        <v>7482.1</v>
      </c>
      <c r="N105" s="166">
        <v>7482.1</v>
      </c>
    </row>
    <row r="106" spans="1:14" s="392" customFormat="1" ht="56.25">
      <c r="A106" s="151"/>
      <c r="B106" s="164" t="s">
        <v>75</v>
      </c>
      <c r="C106" s="165" t="s">
        <v>3</v>
      </c>
      <c r="D106" s="150" t="s">
        <v>84</v>
      </c>
      <c r="E106" s="150" t="s">
        <v>109</v>
      </c>
      <c r="F106" s="744" t="s">
        <v>102</v>
      </c>
      <c r="G106" s="745" t="s">
        <v>50</v>
      </c>
      <c r="H106" s="745" t="s">
        <v>57</v>
      </c>
      <c r="I106" s="746" t="s">
        <v>112</v>
      </c>
      <c r="J106" s="150" t="s">
        <v>76</v>
      </c>
      <c r="K106" s="698">
        <v>1359.7</v>
      </c>
      <c r="L106" s="166">
        <f>M106-K106</f>
        <v>0</v>
      </c>
      <c r="M106" s="166">
        <v>1359.7</v>
      </c>
      <c r="N106" s="166">
        <v>1360.1</v>
      </c>
    </row>
    <row r="107" spans="1:14" s="392" customFormat="1" ht="18.75">
      <c r="A107" s="151"/>
      <c r="B107" s="164" t="s">
        <v>77</v>
      </c>
      <c r="C107" s="165" t="s">
        <v>3</v>
      </c>
      <c r="D107" s="150" t="s">
        <v>84</v>
      </c>
      <c r="E107" s="150" t="s">
        <v>109</v>
      </c>
      <c r="F107" s="744" t="s">
        <v>102</v>
      </c>
      <c r="G107" s="745" t="s">
        <v>50</v>
      </c>
      <c r="H107" s="745" t="s">
        <v>57</v>
      </c>
      <c r="I107" s="746" t="s">
        <v>112</v>
      </c>
      <c r="J107" s="150" t="s">
        <v>78</v>
      </c>
      <c r="K107" s="698">
        <v>6.3</v>
      </c>
      <c r="L107" s="166">
        <f>M107-K107</f>
        <v>0</v>
      </c>
      <c r="M107" s="166">
        <v>6.3</v>
      </c>
      <c r="N107" s="166">
        <v>6.3</v>
      </c>
    </row>
    <row r="108" spans="1:14" s="392" customFormat="1" ht="18.75">
      <c r="A108" s="151"/>
      <c r="B108" s="164" t="s">
        <v>113</v>
      </c>
      <c r="C108" s="165" t="s">
        <v>3</v>
      </c>
      <c r="D108" s="150" t="s">
        <v>72</v>
      </c>
      <c r="E108" s="150"/>
      <c r="F108" s="744"/>
      <c r="G108" s="745"/>
      <c r="H108" s="745"/>
      <c r="I108" s="746"/>
      <c r="J108" s="150"/>
      <c r="K108" s="698">
        <f>K109+K118+K124</f>
        <v>23816.9</v>
      </c>
      <c r="L108" s="166">
        <f>L109+L118+L124</f>
        <v>0</v>
      </c>
      <c r="M108" s="166">
        <f>M109+M118+M124</f>
        <v>23816.9</v>
      </c>
      <c r="N108" s="166">
        <f>N109+N118+N124</f>
        <v>24744.1</v>
      </c>
    </row>
    <row r="109" spans="1:14" s="147" customFormat="1" ht="18.75">
      <c r="A109" s="151"/>
      <c r="B109" s="164" t="s">
        <v>114</v>
      </c>
      <c r="C109" s="165" t="s">
        <v>3</v>
      </c>
      <c r="D109" s="150" t="s">
        <v>72</v>
      </c>
      <c r="E109" s="150" t="s">
        <v>86</v>
      </c>
      <c r="F109" s="744"/>
      <c r="G109" s="745"/>
      <c r="H109" s="745"/>
      <c r="I109" s="746"/>
      <c r="J109" s="150"/>
      <c r="K109" s="698">
        <f t="shared" ref="K109:N110" si="13">K110</f>
        <v>11258.5</v>
      </c>
      <c r="L109" s="166">
        <f t="shared" si="13"/>
        <v>0</v>
      </c>
      <c r="M109" s="166">
        <f t="shared" si="13"/>
        <v>11258.5</v>
      </c>
      <c r="N109" s="166">
        <f t="shared" si="13"/>
        <v>11258.5</v>
      </c>
    </row>
    <row r="110" spans="1:14" s="392" customFormat="1" ht="59.25" customHeight="1">
      <c r="A110" s="151"/>
      <c r="B110" s="164" t="s">
        <v>115</v>
      </c>
      <c r="C110" s="165" t="s">
        <v>3</v>
      </c>
      <c r="D110" s="150" t="s">
        <v>72</v>
      </c>
      <c r="E110" s="150" t="s">
        <v>86</v>
      </c>
      <c r="F110" s="744" t="s">
        <v>88</v>
      </c>
      <c r="G110" s="745" t="s">
        <v>62</v>
      </c>
      <c r="H110" s="745" t="s">
        <v>63</v>
      </c>
      <c r="I110" s="746" t="s">
        <v>64</v>
      </c>
      <c r="J110" s="150"/>
      <c r="K110" s="698">
        <f t="shared" si="13"/>
        <v>11258.5</v>
      </c>
      <c r="L110" s="166">
        <f t="shared" si="13"/>
        <v>0</v>
      </c>
      <c r="M110" s="166">
        <f t="shared" si="13"/>
        <v>11258.5</v>
      </c>
      <c r="N110" s="166">
        <f t="shared" si="13"/>
        <v>11258.5</v>
      </c>
    </row>
    <row r="111" spans="1:14" s="147" customFormat="1" ht="37.5">
      <c r="A111" s="151"/>
      <c r="B111" s="164" t="s">
        <v>404</v>
      </c>
      <c r="C111" s="165" t="s">
        <v>3</v>
      </c>
      <c r="D111" s="150" t="s">
        <v>72</v>
      </c>
      <c r="E111" s="150" t="s">
        <v>86</v>
      </c>
      <c r="F111" s="744" t="s">
        <v>88</v>
      </c>
      <c r="G111" s="745" t="s">
        <v>65</v>
      </c>
      <c r="H111" s="745" t="s">
        <v>63</v>
      </c>
      <c r="I111" s="746" t="s">
        <v>64</v>
      </c>
      <c r="J111" s="150"/>
      <c r="K111" s="698">
        <f>K112+K115</f>
        <v>11258.5</v>
      </c>
      <c r="L111" s="166">
        <f>L112+L115</f>
        <v>0</v>
      </c>
      <c r="M111" s="166">
        <f>M112+M115</f>
        <v>11258.5</v>
      </c>
      <c r="N111" s="166">
        <f>N112+N115</f>
        <v>11258.5</v>
      </c>
    </row>
    <row r="112" spans="1:14" s="147" customFormat="1" ht="56.25">
      <c r="A112" s="151"/>
      <c r="B112" s="164" t="s">
        <v>116</v>
      </c>
      <c r="C112" s="165" t="s">
        <v>3</v>
      </c>
      <c r="D112" s="150" t="s">
        <v>72</v>
      </c>
      <c r="E112" s="150" t="s">
        <v>86</v>
      </c>
      <c r="F112" s="744" t="s">
        <v>88</v>
      </c>
      <c r="G112" s="745" t="s">
        <v>65</v>
      </c>
      <c r="H112" s="745" t="s">
        <v>57</v>
      </c>
      <c r="I112" s="746" t="s">
        <v>64</v>
      </c>
      <c r="J112" s="150"/>
      <c r="K112" s="698">
        <f t="shared" ref="K112:N112" si="14">K113</f>
        <v>11070.6</v>
      </c>
      <c r="L112" s="166">
        <f t="shared" si="14"/>
        <v>0</v>
      </c>
      <c r="M112" s="166">
        <f t="shared" si="14"/>
        <v>11070.6</v>
      </c>
      <c r="N112" s="166">
        <f t="shared" si="14"/>
        <v>11070.6</v>
      </c>
    </row>
    <row r="113" spans="1:14" s="147" customFormat="1" ht="75">
      <c r="A113" s="151"/>
      <c r="B113" s="196" t="s">
        <v>583</v>
      </c>
      <c r="C113" s="165" t="s">
        <v>3</v>
      </c>
      <c r="D113" s="150" t="s">
        <v>72</v>
      </c>
      <c r="E113" s="150" t="s">
        <v>86</v>
      </c>
      <c r="F113" s="744" t="s">
        <v>88</v>
      </c>
      <c r="G113" s="745" t="s">
        <v>65</v>
      </c>
      <c r="H113" s="745" t="s">
        <v>57</v>
      </c>
      <c r="I113" s="746" t="s">
        <v>82</v>
      </c>
      <c r="J113" s="150"/>
      <c r="K113" s="698">
        <f>K114</f>
        <v>11070.6</v>
      </c>
      <c r="L113" s="166">
        <f>L114</f>
        <v>0</v>
      </c>
      <c r="M113" s="166">
        <f>M114</f>
        <v>11070.6</v>
      </c>
      <c r="N113" s="166">
        <f>N114</f>
        <v>11070.6</v>
      </c>
    </row>
    <row r="114" spans="1:14" s="392" customFormat="1" ht="18.75">
      <c r="A114" s="151"/>
      <c r="B114" s="164" t="s">
        <v>77</v>
      </c>
      <c r="C114" s="165" t="s">
        <v>3</v>
      </c>
      <c r="D114" s="150" t="s">
        <v>72</v>
      </c>
      <c r="E114" s="150" t="s">
        <v>86</v>
      </c>
      <c r="F114" s="744" t="s">
        <v>88</v>
      </c>
      <c r="G114" s="745" t="s">
        <v>65</v>
      </c>
      <c r="H114" s="745" t="s">
        <v>57</v>
      </c>
      <c r="I114" s="746" t="s">
        <v>82</v>
      </c>
      <c r="J114" s="150" t="s">
        <v>78</v>
      </c>
      <c r="K114" s="698">
        <v>11070.6</v>
      </c>
      <c r="L114" s="166">
        <f>M114-K114</f>
        <v>0</v>
      </c>
      <c r="M114" s="166">
        <v>11070.6</v>
      </c>
      <c r="N114" s="166">
        <v>11070.6</v>
      </c>
    </row>
    <row r="115" spans="1:14" s="147" customFormat="1" ht="57" customHeight="1">
      <c r="A115" s="151"/>
      <c r="B115" s="164" t="s">
        <v>117</v>
      </c>
      <c r="C115" s="165" t="s">
        <v>3</v>
      </c>
      <c r="D115" s="150" t="s">
        <v>72</v>
      </c>
      <c r="E115" s="150" t="s">
        <v>86</v>
      </c>
      <c r="F115" s="744" t="s">
        <v>88</v>
      </c>
      <c r="G115" s="745" t="s">
        <v>65</v>
      </c>
      <c r="H115" s="745" t="s">
        <v>59</v>
      </c>
      <c r="I115" s="746" t="s">
        <v>64</v>
      </c>
      <c r="J115" s="150"/>
      <c r="K115" s="698">
        <f t="shared" ref="K115:N116" si="15">K116</f>
        <v>187.9</v>
      </c>
      <c r="L115" s="166">
        <f t="shared" si="15"/>
        <v>0</v>
      </c>
      <c r="M115" s="166">
        <f t="shared" si="15"/>
        <v>187.9</v>
      </c>
      <c r="N115" s="166">
        <f t="shared" si="15"/>
        <v>187.9</v>
      </c>
    </row>
    <row r="116" spans="1:14" s="147" customFormat="1" ht="172.5" customHeight="1">
      <c r="A116" s="151"/>
      <c r="B116" s="164" t="s">
        <v>689</v>
      </c>
      <c r="C116" s="165" t="s">
        <v>3</v>
      </c>
      <c r="D116" s="150" t="s">
        <v>72</v>
      </c>
      <c r="E116" s="150" t="s">
        <v>86</v>
      </c>
      <c r="F116" s="744" t="s">
        <v>88</v>
      </c>
      <c r="G116" s="745" t="s">
        <v>65</v>
      </c>
      <c r="H116" s="745" t="s">
        <v>59</v>
      </c>
      <c r="I116" s="746" t="s">
        <v>118</v>
      </c>
      <c r="J116" s="150"/>
      <c r="K116" s="698">
        <f t="shared" si="15"/>
        <v>187.9</v>
      </c>
      <c r="L116" s="166">
        <f t="shared" si="15"/>
        <v>0</v>
      </c>
      <c r="M116" s="166">
        <f t="shared" si="15"/>
        <v>187.9</v>
      </c>
      <c r="N116" s="166">
        <f t="shared" si="15"/>
        <v>187.9</v>
      </c>
    </row>
    <row r="117" spans="1:14" s="392" customFormat="1" ht="56.25">
      <c r="A117" s="151"/>
      <c r="B117" s="164" t="s">
        <v>75</v>
      </c>
      <c r="C117" s="165" t="s">
        <v>3</v>
      </c>
      <c r="D117" s="150" t="s">
        <v>72</v>
      </c>
      <c r="E117" s="150" t="s">
        <v>86</v>
      </c>
      <c r="F117" s="744" t="s">
        <v>88</v>
      </c>
      <c r="G117" s="745" t="s">
        <v>65</v>
      </c>
      <c r="H117" s="745" t="s">
        <v>59</v>
      </c>
      <c r="I117" s="746" t="s">
        <v>118</v>
      </c>
      <c r="J117" s="150" t="s">
        <v>76</v>
      </c>
      <c r="K117" s="698">
        <v>187.9</v>
      </c>
      <c r="L117" s="166">
        <f>M117-K117</f>
        <v>0</v>
      </c>
      <c r="M117" s="166">
        <v>187.9</v>
      </c>
      <c r="N117" s="166">
        <v>187.9</v>
      </c>
    </row>
    <row r="118" spans="1:14" s="147" customFormat="1" ht="18.75">
      <c r="A118" s="151"/>
      <c r="B118" s="169" t="s">
        <v>119</v>
      </c>
      <c r="C118" s="165" t="s">
        <v>3</v>
      </c>
      <c r="D118" s="150" t="s">
        <v>72</v>
      </c>
      <c r="E118" s="150" t="s">
        <v>100</v>
      </c>
      <c r="F118" s="744"/>
      <c r="G118" s="745"/>
      <c r="H118" s="745"/>
      <c r="I118" s="746"/>
      <c r="J118" s="150"/>
      <c r="K118" s="698">
        <f t="shared" ref="K118:N122" si="16">K119</f>
        <v>5907.9</v>
      </c>
      <c r="L118" s="166">
        <f t="shared" si="16"/>
        <v>0</v>
      </c>
      <c r="M118" s="166">
        <f t="shared" si="16"/>
        <v>5907.9</v>
      </c>
      <c r="N118" s="166">
        <f t="shared" si="16"/>
        <v>6835.1</v>
      </c>
    </row>
    <row r="119" spans="1:14" s="392" customFormat="1" ht="56.25">
      <c r="A119" s="151"/>
      <c r="B119" s="164" t="s">
        <v>120</v>
      </c>
      <c r="C119" s="165" t="s">
        <v>3</v>
      </c>
      <c r="D119" s="150" t="s">
        <v>72</v>
      </c>
      <c r="E119" s="150" t="s">
        <v>100</v>
      </c>
      <c r="F119" s="744" t="s">
        <v>121</v>
      </c>
      <c r="G119" s="745" t="s">
        <v>62</v>
      </c>
      <c r="H119" s="745" t="s">
        <v>63</v>
      </c>
      <c r="I119" s="746" t="s">
        <v>64</v>
      </c>
      <c r="J119" s="150"/>
      <c r="K119" s="698">
        <f t="shared" si="16"/>
        <v>5907.9</v>
      </c>
      <c r="L119" s="166">
        <f t="shared" si="16"/>
        <v>0</v>
      </c>
      <c r="M119" s="166">
        <f t="shared" si="16"/>
        <v>5907.9</v>
      </c>
      <c r="N119" s="166">
        <f t="shared" si="16"/>
        <v>6835.1</v>
      </c>
    </row>
    <row r="120" spans="1:14" s="147" customFormat="1" ht="37.5">
      <c r="A120" s="151"/>
      <c r="B120" s="164" t="s">
        <v>404</v>
      </c>
      <c r="C120" s="165" t="s">
        <v>3</v>
      </c>
      <c r="D120" s="150" t="s">
        <v>72</v>
      </c>
      <c r="E120" s="150" t="s">
        <v>100</v>
      </c>
      <c r="F120" s="744" t="s">
        <v>121</v>
      </c>
      <c r="G120" s="745" t="s">
        <v>65</v>
      </c>
      <c r="H120" s="745" t="s">
        <v>63</v>
      </c>
      <c r="I120" s="746" t="s">
        <v>64</v>
      </c>
      <c r="J120" s="150"/>
      <c r="K120" s="698">
        <f t="shared" si="16"/>
        <v>5907.9</v>
      </c>
      <c r="L120" s="166">
        <f t="shared" si="16"/>
        <v>0</v>
      </c>
      <c r="M120" s="166">
        <f t="shared" si="16"/>
        <v>5907.9</v>
      </c>
      <c r="N120" s="166">
        <f t="shared" si="16"/>
        <v>6835.1</v>
      </c>
    </row>
    <row r="121" spans="1:14" s="147" customFormat="1" ht="93.75">
      <c r="A121" s="151"/>
      <c r="B121" s="164" t="s">
        <v>122</v>
      </c>
      <c r="C121" s="165" t="s">
        <v>3</v>
      </c>
      <c r="D121" s="150" t="s">
        <v>72</v>
      </c>
      <c r="E121" s="150" t="s">
        <v>100</v>
      </c>
      <c r="F121" s="744" t="s">
        <v>121</v>
      </c>
      <c r="G121" s="745" t="s">
        <v>65</v>
      </c>
      <c r="H121" s="745" t="s">
        <v>57</v>
      </c>
      <c r="I121" s="746" t="s">
        <v>64</v>
      </c>
      <c r="J121" s="150"/>
      <c r="K121" s="698">
        <f t="shared" si="16"/>
        <v>5907.9</v>
      </c>
      <c r="L121" s="166">
        <f t="shared" si="16"/>
        <v>0</v>
      </c>
      <c r="M121" s="166">
        <f t="shared" si="16"/>
        <v>5907.9</v>
      </c>
      <c r="N121" s="166">
        <f t="shared" si="16"/>
        <v>6835.1</v>
      </c>
    </row>
    <row r="122" spans="1:14" s="147" customFormat="1" ht="75.75" customHeight="1">
      <c r="A122" s="151"/>
      <c r="B122" s="170" t="s">
        <v>123</v>
      </c>
      <c r="C122" s="165" t="s">
        <v>3</v>
      </c>
      <c r="D122" s="150" t="s">
        <v>72</v>
      </c>
      <c r="E122" s="150" t="s">
        <v>100</v>
      </c>
      <c r="F122" s="744" t="s">
        <v>121</v>
      </c>
      <c r="G122" s="745" t="s">
        <v>65</v>
      </c>
      <c r="H122" s="745" t="s">
        <v>57</v>
      </c>
      <c r="I122" s="746" t="s">
        <v>124</v>
      </c>
      <c r="J122" s="150"/>
      <c r="K122" s="698">
        <f t="shared" si="16"/>
        <v>5907.9</v>
      </c>
      <c r="L122" s="166">
        <f t="shared" si="16"/>
        <v>0</v>
      </c>
      <c r="M122" s="166">
        <f t="shared" si="16"/>
        <v>5907.9</v>
      </c>
      <c r="N122" s="166">
        <f t="shared" si="16"/>
        <v>6835.1</v>
      </c>
    </row>
    <row r="123" spans="1:14" s="392" customFormat="1" ht="56.25">
      <c r="A123" s="151"/>
      <c r="B123" s="164" t="s">
        <v>75</v>
      </c>
      <c r="C123" s="165" t="s">
        <v>3</v>
      </c>
      <c r="D123" s="150" t="s">
        <v>72</v>
      </c>
      <c r="E123" s="150" t="s">
        <v>100</v>
      </c>
      <c r="F123" s="744" t="s">
        <v>121</v>
      </c>
      <c r="G123" s="745" t="s">
        <v>65</v>
      </c>
      <c r="H123" s="745" t="s">
        <v>57</v>
      </c>
      <c r="I123" s="746" t="s">
        <v>124</v>
      </c>
      <c r="J123" s="150" t="s">
        <v>76</v>
      </c>
      <c r="K123" s="698">
        <v>5907.9</v>
      </c>
      <c r="L123" s="166">
        <f>M123-K123</f>
        <v>0</v>
      </c>
      <c r="M123" s="166">
        <v>5907.9</v>
      </c>
      <c r="N123" s="166">
        <v>6835.1</v>
      </c>
    </row>
    <row r="124" spans="1:14" s="147" customFormat="1" ht="37.5">
      <c r="A124" s="151"/>
      <c r="B124" s="169" t="s">
        <v>127</v>
      </c>
      <c r="C124" s="165" t="s">
        <v>3</v>
      </c>
      <c r="D124" s="150" t="s">
        <v>72</v>
      </c>
      <c r="E124" s="150" t="s">
        <v>121</v>
      </c>
      <c r="F124" s="744"/>
      <c r="G124" s="745"/>
      <c r="H124" s="745"/>
      <c r="I124" s="746"/>
      <c r="J124" s="150"/>
      <c r="K124" s="698">
        <f>K125+K134+K141</f>
        <v>6650.5</v>
      </c>
      <c r="L124" s="166">
        <f>L125+L134+L141</f>
        <v>0</v>
      </c>
      <c r="M124" s="166">
        <f>M125+M134+M141</f>
        <v>6650.5</v>
      </c>
      <c r="N124" s="166">
        <f>N125+N134+N141</f>
        <v>6650.5</v>
      </c>
    </row>
    <row r="125" spans="1:14" s="392" customFormat="1" ht="75">
      <c r="A125" s="151"/>
      <c r="B125" s="164" t="s">
        <v>128</v>
      </c>
      <c r="C125" s="165" t="s">
        <v>3</v>
      </c>
      <c r="D125" s="150" t="s">
        <v>72</v>
      </c>
      <c r="E125" s="150" t="s">
        <v>121</v>
      </c>
      <c r="F125" s="744" t="s">
        <v>92</v>
      </c>
      <c r="G125" s="745" t="s">
        <v>62</v>
      </c>
      <c r="H125" s="745" t="s">
        <v>63</v>
      </c>
      <c r="I125" s="746" t="s">
        <v>64</v>
      </c>
      <c r="J125" s="150"/>
      <c r="K125" s="698">
        <f>K130+K126</f>
        <v>1025.0999999999999</v>
      </c>
      <c r="L125" s="166">
        <f>L130+L126</f>
        <v>0</v>
      </c>
      <c r="M125" s="166">
        <f>M130+M126</f>
        <v>1025.0999999999999</v>
      </c>
      <c r="N125" s="166">
        <f>N130+N126</f>
        <v>1025.0999999999999</v>
      </c>
    </row>
    <row r="126" spans="1:14" s="392" customFormat="1" ht="56.25">
      <c r="A126" s="151"/>
      <c r="B126" s="169" t="s">
        <v>129</v>
      </c>
      <c r="C126" s="165" t="s">
        <v>3</v>
      </c>
      <c r="D126" s="150" t="s">
        <v>72</v>
      </c>
      <c r="E126" s="150" t="s">
        <v>121</v>
      </c>
      <c r="F126" s="744" t="s">
        <v>92</v>
      </c>
      <c r="G126" s="745" t="s">
        <v>65</v>
      </c>
      <c r="H126" s="745" t="s">
        <v>63</v>
      </c>
      <c r="I126" s="746" t="s">
        <v>64</v>
      </c>
      <c r="J126" s="150"/>
      <c r="K126" s="698">
        <f t="shared" ref="K126:N128" si="17">K127</f>
        <v>310</v>
      </c>
      <c r="L126" s="166">
        <f t="shared" si="17"/>
        <v>0</v>
      </c>
      <c r="M126" s="166">
        <f t="shared" si="17"/>
        <v>310</v>
      </c>
      <c r="N126" s="166">
        <f t="shared" si="17"/>
        <v>310</v>
      </c>
    </row>
    <row r="127" spans="1:14" s="392" customFormat="1" ht="37.5">
      <c r="A127" s="151"/>
      <c r="B127" s="164" t="s">
        <v>130</v>
      </c>
      <c r="C127" s="165" t="s">
        <v>3</v>
      </c>
      <c r="D127" s="150" t="s">
        <v>72</v>
      </c>
      <c r="E127" s="150" t="s">
        <v>121</v>
      </c>
      <c r="F127" s="744" t="s">
        <v>92</v>
      </c>
      <c r="G127" s="745" t="s">
        <v>65</v>
      </c>
      <c r="H127" s="745" t="s">
        <v>57</v>
      </c>
      <c r="I127" s="746" t="s">
        <v>64</v>
      </c>
      <c r="J127" s="150"/>
      <c r="K127" s="698">
        <f t="shared" si="17"/>
        <v>310</v>
      </c>
      <c r="L127" s="166">
        <f t="shared" si="17"/>
        <v>0</v>
      </c>
      <c r="M127" s="166">
        <f t="shared" si="17"/>
        <v>310</v>
      </c>
      <c r="N127" s="166">
        <f t="shared" si="17"/>
        <v>310</v>
      </c>
    </row>
    <row r="128" spans="1:14" s="392" customFormat="1" ht="37.5">
      <c r="A128" s="151"/>
      <c r="B128" s="169" t="s">
        <v>131</v>
      </c>
      <c r="C128" s="165" t="s">
        <v>3</v>
      </c>
      <c r="D128" s="150" t="s">
        <v>72</v>
      </c>
      <c r="E128" s="150" t="s">
        <v>121</v>
      </c>
      <c r="F128" s="744" t="s">
        <v>92</v>
      </c>
      <c r="G128" s="745" t="s">
        <v>65</v>
      </c>
      <c r="H128" s="745" t="s">
        <v>57</v>
      </c>
      <c r="I128" s="746" t="s">
        <v>132</v>
      </c>
      <c r="J128" s="150"/>
      <c r="K128" s="698">
        <f t="shared" si="17"/>
        <v>310</v>
      </c>
      <c r="L128" s="166">
        <f t="shared" si="17"/>
        <v>0</v>
      </c>
      <c r="M128" s="166">
        <f t="shared" si="17"/>
        <v>310</v>
      </c>
      <c r="N128" s="166">
        <f t="shared" si="17"/>
        <v>310</v>
      </c>
    </row>
    <row r="129" spans="1:15" s="392" customFormat="1" ht="56.25">
      <c r="A129" s="151"/>
      <c r="B129" s="164" t="s">
        <v>75</v>
      </c>
      <c r="C129" s="165" t="s">
        <v>3</v>
      </c>
      <c r="D129" s="150" t="s">
        <v>72</v>
      </c>
      <c r="E129" s="150" t="s">
        <v>121</v>
      </c>
      <c r="F129" s="744" t="s">
        <v>92</v>
      </c>
      <c r="G129" s="745" t="s">
        <v>65</v>
      </c>
      <c r="H129" s="745" t="s">
        <v>57</v>
      </c>
      <c r="I129" s="746" t="s">
        <v>132</v>
      </c>
      <c r="J129" s="150" t="s">
        <v>76</v>
      </c>
      <c r="K129" s="698">
        <v>310</v>
      </c>
      <c r="L129" s="166">
        <f>M129-K129</f>
        <v>0</v>
      </c>
      <c r="M129" s="166">
        <v>310</v>
      </c>
      <c r="N129" s="166">
        <v>310</v>
      </c>
    </row>
    <row r="130" spans="1:15" s="392" customFormat="1" ht="37.5">
      <c r="A130" s="151"/>
      <c r="B130" s="169" t="s">
        <v>133</v>
      </c>
      <c r="C130" s="165" t="s">
        <v>3</v>
      </c>
      <c r="D130" s="150" t="s">
        <v>72</v>
      </c>
      <c r="E130" s="150" t="s">
        <v>121</v>
      </c>
      <c r="F130" s="744" t="s">
        <v>92</v>
      </c>
      <c r="G130" s="745" t="s">
        <v>110</v>
      </c>
      <c r="H130" s="745" t="s">
        <v>63</v>
      </c>
      <c r="I130" s="746" t="s">
        <v>64</v>
      </c>
      <c r="J130" s="150"/>
      <c r="K130" s="698">
        <f t="shared" ref="K130:N132" si="18">K131</f>
        <v>715.1</v>
      </c>
      <c r="L130" s="166">
        <f t="shared" si="18"/>
        <v>0</v>
      </c>
      <c r="M130" s="166">
        <f t="shared" si="18"/>
        <v>715.1</v>
      </c>
      <c r="N130" s="166">
        <f t="shared" si="18"/>
        <v>715.1</v>
      </c>
    </row>
    <row r="131" spans="1:15" s="147" customFormat="1" ht="56.25">
      <c r="A131" s="151"/>
      <c r="B131" s="169" t="s">
        <v>134</v>
      </c>
      <c r="C131" s="165" t="s">
        <v>3</v>
      </c>
      <c r="D131" s="150" t="s">
        <v>72</v>
      </c>
      <c r="E131" s="150" t="s">
        <v>121</v>
      </c>
      <c r="F131" s="744" t="s">
        <v>92</v>
      </c>
      <c r="G131" s="745" t="s">
        <v>110</v>
      </c>
      <c r="H131" s="745" t="s">
        <v>57</v>
      </c>
      <c r="I131" s="746" t="s">
        <v>64</v>
      </c>
      <c r="J131" s="150"/>
      <c r="K131" s="698">
        <f t="shared" si="18"/>
        <v>715.1</v>
      </c>
      <c r="L131" s="166">
        <f t="shared" si="18"/>
        <v>0</v>
      </c>
      <c r="M131" s="166">
        <f t="shared" si="18"/>
        <v>715.1</v>
      </c>
      <c r="N131" s="166">
        <f t="shared" si="18"/>
        <v>715.1</v>
      </c>
    </row>
    <row r="132" spans="1:15" s="392" customFormat="1" ht="79.5" customHeight="1">
      <c r="A132" s="151"/>
      <c r="B132" s="169" t="s">
        <v>135</v>
      </c>
      <c r="C132" s="165" t="s">
        <v>3</v>
      </c>
      <c r="D132" s="150" t="s">
        <v>72</v>
      </c>
      <c r="E132" s="150" t="s">
        <v>121</v>
      </c>
      <c r="F132" s="744" t="s">
        <v>92</v>
      </c>
      <c r="G132" s="745" t="s">
        <v>110</v>
      </c>
      <c r="H132" s="745" t="s">
        <v>57</v>
      </c>
      <c r="I132" s="746" t="s">
        <v>136</v>
      </c>
      <c r="J132" s="150"/>
      <c r="K132" s="698">
        <f t="shared" si="18"/>
        <v>715.1</v>
      </c>
      <c r="L132" s="166">
        <f t="shared" si="18"/>
        <v>0</v>
      </c>
      <c r="M132" s="166">
        <f t="shared" si="18"/>
        <v>715.1</v>
      </c>
      <c r="N132" s="166">
        <f t="shared" si="18"/>
        <v>715.1</v>
      </c>
    </row>
    <row r="133" spans="1:15" s="147" customFormat="1" ht="56.25">
      <c r="A133" s="151"/>
      <c r="B133" s="164" t="s">
        <v>75</v>
      </c>
      <c r="C133" s="165" t="s">
        <v>3</v>
      </c>
      <c r="D133" s="150" t="s">
        <v>72</v>
      </c>
      <c r="E133" s="150" t="s">
        <v>121</v>
      </c>
      <c r="F133" s="744" t="s">
        <v>92</v>
      </c>
      <c r="G133" s="745" t="s">
        <v>110</v>
      </c>
      <c r="H133" s="745" t="s">
        <v>57</v>
      </c>
      <c r="I133" s="746" t="s">
        <v>136</v>
      </c>
      <c r="J133" s="150" t="s">
        <v>76</v>
      </c>
      <c r="K133" s="698">
        <v>715.1</v>
      </c>
      <c r="L133" s="166">
        <f>M133-K133</f>
        <v>0</v>
      </c>
      <c r="M133" s="166">
        <v>715.1</v>
      </c>
      <c r="N133" s="166">
        <v>715.1</v>
      </c>
    </row>
    <row r="134" spans="1:15" s="392" customFormat="1" ht="75">
      <c r="A134" s="151"/>
      <c r="B134" s="164" t="s">
        <v>137</v>
      </c>
      <c r="C134" s="165" t="s">
        <v>3</v>
      </c>
      <c r="D134" s="150" t="s">
        <v>72</v>
      </c>
      <c r="E134" s="150" t="s">
        <v>121</v>
      </c>
      <c r="F134" s="744" t="s">
        <v>109</v>
      </c>
      <c r="G134" s="745" t="s">
        <v>62</v>
      </c>
      <c r="H134" s="745" t="s">
        <v>63</v>
      </c>
      <c r="I134" s="746" t="s">
        <v>64</v>
      </c>
      <c r="J134" s="150"/>
      <c r="K134" s="698">
        <f t="shared" ref="K134:N135" si="19">K135</f>
        <v>891.2</v>
      </c>
      <c r="L134" s="166">
        <f t="shared" si="19"/>
        <v>0</v>
      </c>
      <c r="M134" s="166">
        <f t="shared" si="19"/>
        <v>891.2</v>
      </c>
      <c r="N134" s="166">
        <f t="shared" si="19"/>
        <v>891.2</v>
      </c>
    </row>
    <row r="135" spans="1:15" s="392" customFormat="1" ht="37.5">
      <c r="A135" s="151"/>
      <c r="B135" s="164" t="s">
        <v>404</v>
      </c>
      <c r="C135" s="165" t="s">
        <v>3</v>
      </c>
      <c r="D135" s="150" t="s">
        <v>72</v>
      </c>
      <c r="E135" s="150" t="s">
        <v>121</v>
      </c>
      <c r="F135" s="744" t="s">
        <v>109</v>
      </c>
      <c r="G135" s="745" t="s">
        <v>65</v>
      </c>
      <c r="H135" s="745" t="s">
        <v>63</v>
      </c>
      <c r="I135" s="746" t="s">
        <v>64</v>
      </c>
      <c r="J135" s="150"/>
      <c r="K135" s="698">
        <f t="shared" si="19"/>
        <v>891.2</v>
      </c>
      <c r="L135" s="166">
        <f t="shared" si="19"/>
        <v>0</v>
      </c>
      <c r="M135" s="166">
        <f t="shared" si="19"/>
        <v>891.2</v>
      </c>
      <c r="N135" s="166">
        <f t="shared" si="19"/>
        <v>891.2</v>
      </c>
    </row>
    <row r="136" spans="1:15" s="147" customFormat="1" ht="75">
      <c r="A136" s="151"/>
      <c r="B136" s="169" t="s">
        <v>360</v>
      </c>
      <c r="C136" s="165" t="s">
        <v>3</v>
      </c>
      <c r="D136" s="150" t="s">
        <v>72</v>
      </c>
      <c r="E136" s="150" t="s">
        <v>121</v>
      </c>
      <c r="F136" s="744" t="s">
        <v>109</v>
      </c>
      <c r="G136" s="745" t="s">
        <v>65</v>
      </c>
      <c r="H136" s="745" t="s">
        <v>57</v>
      </c>
      <c r="I136" s="746" t="s">
        <v>64</v>
      </c>
      <c r="J136" s="150"/>
      <c r="K136" s="698">
        <f>K139+K137</f>
        <v>891.2</v>
      </c>
      <c r="L136" s="166">
        <f>L139+L137</f>
        <v>0</v>
      </c>
      <c r="M136" s="166">
        <f>M139+M137</f>
        <v>891.2</v>
      </c>
      <c r="N136" s="166">
        <f>N139+N137</f>
        <v>891.2</v>
      </c>
    </row>
    <row r="137" spans="1:15" s="147" customFormat="1" ht="56.25">
      <c r="A137" s="151"/>
      <c r="B137" s="169" t="s">
        <v>138</v>
      </c>
      <c r="C137" s="165" t="s">
        <v>3</v>
      </c>
      <c r="D137" s="150" t="s">
        <v>72</v>
      </c>
      <c r="E137" s="150" t="s">
        <v>121</v>
      </c>
      <c r="F137" s="744" t="s">
        <v>109</v>
      </c>
      <c r="G137" s="745" t="s">
        <v>65</v>
      </c>
      <c r="H137" s="745" t="s">
        <v>57</v>
      </c>
      <c r="I137" s="746" t="s">
        <v>139</v>
      </c>
      <c r="J137" s="150"/>
      <c r="K137" s="698">
        <f>K138</f>
        <v>112.2</v>
      </c>
      <c r="L137" s="166">
        <f>L138</f>
        <v>0</v>
      </c>
      <c r="M137" s="166">
        <f>M138</f>
        <v>112.2</v>
      </c>
      <c r="N137" s="166">
        <f>N138</f>
        <v>112.2</v>
      </c>
    </row>
    <row r="138" spans="1:15" s="147" customFormat="1" ht="56.25">
      <c r="A138" s="151"/>
      <c r="B138" s="164" t="s">
        <v>75</v>
      </c>
      <c r="C138" s="165" t="s">
        <v>3</v>
      </c>
      <c r="D138" s="150" t="s">
        <v>72</v>
      </c>
      <c r="E138" s="150" t="s">
        <v>121</v>
      </c>
      <c r="F138" s="744" t="s">
        <v>109</v>
      </c>
      <c r="G138" s="745" t="s">
        <v>65</v>
      </c>
      <c r="H138" s="745" t="s">
        <v>57</v>
      </c>
      <c r="I138" s="746" t="s">
        <v>139</v>
      </c>
      <c r="J138" s="150" t="s">
        <v>76</v>
      </c>
      <c r="K138" s="698">
        <v>112.2</v>
      </c>
      <c r="L138" s="166">
        <f>M138-K138</f>
        <v>0</v>
      </c>
      <c r="M138" s="166">
        <v>112.2</v>
      </c>
      <c r="N138" s="166">
        <v>112.2</v>
      </c>
    </row>
    <row r="139" spans="1:15" s="147" customFormat="1" ht="75">
      <c r="A139" s="524"/>
      <c r="B139" s="164" t="s">
        <v>497</v>
      </c>
      <c r="C139" s="165" t="s">
        <v>3</v>
      </c>
      <c r="D139" s="150" t="s">
        <v>72</v>
      </c>
      <c r="E139" s="150" t="s">
        <v>121</v>
      </c>
      <c r="F139" s="744" t="s">
        <v>109</v>
      </c>
      <c r="G139" s="745" t="s">
        <v>65</v>
      </c>
      <c r="H139" s="745" t="s">
        <v>57</v>
      </c>
      <c r="I139" s="746" t="s">
        <v>496</v>
      </c>
      <c r="J139" s="150"/>
      <c r="K139" s="698">
        <f t="shared" ref="K139:N139" si="20">K140</f>
        <v>779</v>
      </c>
      <c r="L139" s="166">
        <f t="shared" si="20"/>
        <v>0</v>
      </c>
      <c r="M139" s="166">
        <f t="shared" si="20"/>
        <v>779</v>
      </c>
      <c r="N139" s="166">
        <f t="shared" si="20"/>
        <v>779</v>
      </c>
      <c r="O139" s="525"/>
    </row>
    <row r="140" spans="1:15" s="147" customFormat="1" ht="56.25">
      <c r="A140" s="524"/>
      <c r="B140" s="164" t="s">
        <v>75</v>
      </c>
      <c r="C140" s="165" t="s">
        <v>3</v>
      </c>
      <c r="D140" s="150" t="s">
        <v>72</v>
      </c>
      <c r="E140" s="150" t="s">
        <v>121</v>
      </c>
      <c r="F140" s="744" t="s">
        <v>109</v>
      </c>
      <c r="G140" s="745" t="s">
        <v>65</v>
      </c>
      <c r="H140" s="745" t="s">
        <v>57</v>
      </c>
      <c r="I140" s="746" t="s">
        <v>496</v>
      </c>
      <c r="J140" s="150" t="s">
        <v>76</v>
      </c>
      <c r="K140" s="698">
        <v>779</v>
      </c>
      <c r="L140" s="166">
        <f>M140-K140</f>
        <v>0</v>
      </c>
      <c r="M140" s="166">
        <v>779</v>
      </c>
      <c r="N140" s="166">
        <v>779</v>
      </c>
      <c r="O140" s="525"/>
    </row>
    <row r="141" spans="1:15" s="147" customFormat="1" ht="58.5" customHeight="1">
      <c r="A141" s="151"/>
      <c r="B141" s="164" t="s">
        <v>60</v>
      </c>
      <c r="C141" s="165" t="s">
        <v>3</v>
      </c>
      <c r="D141" s="150" t="s">
        <v>72</v>
      </c>
      <c r="E141" s="150" t="s">
        <v>121</v>
      </c>
      <c r="F141" s="744" t="s">
        <v>61</v>
      </c>
      <c r="G141" s="745" t="s">
        <v>62</v>
      </c>
      <c r="H141" s="745" t="s">
        <v>63</v>
      </c>
      <c r="I141" s="746" t="s">
        <v>64</v>
      </c>
      <c r="J141" s="150"/>
      <c r="K141" s="698">
        <f t="shared" ref="K141:N142" si="21">K142</f>
        <v>4734.2</v>
      </c>
      <c r="L141" s="166">
        <f t="shared" si="21"/>
        <v>0</v>
      </c>
      <c r="M141" s="166">
        <f t="shared" si="21"/>
        <v>4734.2</v>
      </c>
      <c r="N141" s="166">
        <f t="shared" si="21"/>
        <v>4734.2</v>
      </c>
    </row>
    <row r="142" spans="1:15" s="147" customFormat="1" ht="37.5">
      <c r="A142" s="151"/>
      <c r="B142" s="164" t="s">
        <v>404</v>
      </c>
      <c r="C142" s="165" t="s">
        <v>3</v>
      </c>
      <c r="D142" s="150" t="s">
        <v>72</v>
      </c>
      <c r="E142" s="150" t="s">
        <v>121</v>
      </c>
      <c r="F142" s="744" t="s">
        <v>61</v>
      </c>
      <c r="G142" s="745" t="s">
        <v>65</v>
      </c>
      <c r="H142" s="745" t="s">
        <v>63</v>
      </c>
      <c r="I142" s="746" t="s">
        <v>64</v>
      </c>
      <c r="J142" s="150"/>
      <c r="K142" s="698">
        <f t="shared" si="21"/>
        <v>4734.2</v>
      </c>
      <c r="L142" s="166">
        <f t="shared" si="21"/>
        <v>0</v>
      </c>
      <c r="M142" s="166">
        <f t="shared" si="21"/>
        <v>4734.2</v>
      </c>
      <c r="N142" s="166">
        <f t="shared" si="21"/>
        <v>4734.2</v>
      </c>
    </row>
    <row r="143" spans="1:15" s="147" customFormat="1" ht="56.25">
      <c r="A143" s="151"/>
      <c r="B143" s="164" t="s">
        <v>396</v>
      </c>
      <c r="C143" s="165" t="s">
        <v>3</v>
      </c>
      <c r="D143" s="150" t="s">
        <v>72</v>
      </c>
      <c r="E143" s="150" t="s">
        <v>121</v>
      </c>
      <c r="F143" s="744" t="s">
        <v>61</v>
      </c>
      <c r="G143" s="745" t="s">
        <v>65</v>
      </c>
      <c r="H143" s="745" t="s">
        <v>109</v>
      </c>
      <c r="I143" s="746" t="s">
        <v>64</v>
      </c>
      <c r="J143" s="150"/>
      <c r="K143" s="698">
        <f>K144</f>
        <v>4734.2</v>
      </c>
      <c r="L143" s="166">
        <f>L144</f>
        <v>0</v>
      </c>
      <c r="M143" s="166">
        <f>M144</f>
        <v>4734.2</v>
      </c>
      <c r="N143" s="166">
        <f>N144</f>
        <v>4734.2</v>
      </c>
    </row>
    <row r="144" spans="1:15" s="147" customFormat="1" ht="41.25" customHeight="1">
      <c r="A144" s="151"/>
      <c r="B144" s="304" t="s">
        <v>800</v>
      </c>
      <c r="C144" s="165" t="s">
        <v>3</v>
      </c>
      <c r="D144" s="150" t="s">
        <v>72</v>
      </c>
      <c r="E144" s="150" t="s">
        <v>121</v>
      </c>
      <c r="F144" s="744" t="s">
        <v>61</v>
      </c>
      <c r="G144" s="745" t="s">
        <v>65</v>
      </c>
      <c r="H144" s="745" t="s">
        <v>109</v>
      </c>
      <c r="I144" s="746" t="s">
        <v>112</v>
      </c>
      <c r="J144" s="150"/>
      <c r="K144" s="698">
        <f>K145+K146</f>
        <v>4734.2</v>
      </c>
      <c r="L144" s="166">
        <f>L145+L146</f>
        <v>0</v>
      </c>
      <c r="M144" s="166">
        <f>M145+M146</f>
        <v>4734.2</v>
      </c>
      <c r="N144" s="166">
        <f>N145+N146</f>
        <v>4734.2</v>
      </c>
    </row>
    <row r="145" spans="1:14" s="147" customFormat="1" ht="112.5">
      <c r="A145" s="151"/>
      <c r="B145" s="164" t="s">
        <v>69</v>
      </c>
      <c r="C145" s="165" t="s">
        <v>3</v>
      </c>
      <c r="D145" s="150" t="s">
        <v>72</v>
      </c>
      <c r="E145" s="150" t="s">
        <v>121</v>
      </c>
      <c r="F145" s="744" t="s">
        <v>61</v>
      </c>
      <c r="G145" s="745" t="s">
        <v>65</v>
      </c>
      <c r="H145" s="745" t="s">
        <v>109</v>
      </c>
      <c r="I145" s="746" t="s">
        <v>112</v>
      </c>
      <c r="J145" s="150" t="s">
        <v>70</v>
      </c>
      <c r="K145" s="698">
        <v>4490.2</v>
      </c>
      <c r="L145" s="166">
        <f>M145-K145</f>
        <v>0</v>
      </c>
      <c r="M145" s="166">
        <v>4490.2</v>
      </c>
      <c r="N145" s="166">
        <v>4490.2</v>
      </c>
    </row>
    <row r="146" spans="1:14" s="147" customFormat="1" ht="56.25">
      <c r="A146" s="151"/>
      <c r="B146" s="164" t="s">
        <v>75</v>
      </c>
      <c r="C146" s="165" t="s">
        <v>3</v>
      </c>
      <c r="D146" s="150" t="s">
        <v>72</v>
      </c>
      <c r="E146" s="150" t="s">
        <v>121</v>
      </c>
      <c r="F146" s="744" t="s">
        <v>61</v>
      </c>
      <c r="G146" s="745" t="s">
        <v>65</v>
      </c>
      <c r="H146" s="745" t="s">
        <v>109</v>
      </c>
      <c r="I146" s="746" t="s">
        <v>112</v>
      </c>
      <c r="J146" s="150" t="s">
        <v>76</v>
      </c>
      <c r="K146" s="698">
        <v>244</v>
      </c>
      <c r="L146" s="166">
        <f>M146-K146</f>
        <v>0</v>
      </c>
      <c r="M146" s="166">
        <v>244</v>
      </c>
      <c r="N146" s="166">
        <v>244</v>
      </c>
    </row>
    <row r="147" spans="1:14" s="147" customFormat="1" ht="18.75">
      <c r="A147" s="151"/>
      <c r="B147" s="164" t="s">
        <v>199</v>
      </c>
      <c r="C147" s="165" t="s">
        <v>3</v>
      </c>
      <c r="D147" s="150" t="s">
        <v>86</v>
      </c>
      <c r="E147" s="150"/>
      <c r="F147" s="744"/>
      <c r="G147" s="745"/>
      <c r="H147" s="745"/>
      <c r="I147" s="746"/>
      <c r="J147" s="150"/>
      <c r="K147" s="698">
        <f t="shared" ref="K147:N148" si="22">K148</f>
        <v>0</v>
      </c>
      <c r="L147" s="166">
        <f t="shared" si="22"/>
        <v>0</v>
      </c>
      <c r="M147" s="166">
        <f t="shared" si="22"/>
        <v>0</v>
      </c>
      <c r="N147" s="166">
        <f t="shared" si="22"/>
        <v>25766.9</v>
      </c>
    </row>
    <row r="148" spans="1:14" s="147" customFormat="1" ht="18.75">
      <c r="A148" s="151"/>
      <c r="B148" s="164" t="s">
        <v>828</v>
      </c>
      <c r="C148" s="165" t="s">
        <v>3</v>
      </c>
      <c r="D148" s="150" t="s">
        <v>86</v>
      </c>
      <c r="E148" s="150" t="s">
        <v>57</v>
      </c>
      <c r="F148" s="744"/>
      <c r="G148" s="745"/>
      <c r="H148" s="745"/>
      <c r="I148" s="746"/>
      <c r="J148" s="150"/>
      <c r="K148" s="698">
        <f t="shared" si="22"/>
        <v>0</v>
      </c>
      <c r="L148" s="166">
        <f t="shared" si="22"/>
        <v>0</v>
      </c>
      <c r="M148" s="166">
        <f t="shared" si="22"/>
        <v>0</v>
      </c>
      <c r="N148" s="166">
        <f t="shared" si="22"/>
        <v>25766.9</v>
      </c>
    </row>
    <row r="149" spans="1:14" s="147" customFormat="1" ht="78" customHeight="1">
      <c r="A149" s="151"/>
      <c r="B149" s="420" t="s">
        <v>397</v>
      </c>
      <c r="C149" s="165" t="s">
        <v>3</v>
      </c>
      <c r="D149" s="150" t="s">
        <v>86</v>
      </c>
      <c r="E149" s="150" t="s">
        <v>57</v>
      </c>
      <c r="F149" s="744" t="s">
        <v>125</v>
      </c>
      <c r="G149" s="745" t="s">
        <v>62</v>
      </c>
      <c r="H149" s="745" t="s">
        <v>63</v>
      </c>
      <c r="I149" s="746" t="s">
        <v>64</v>
      </c>
      <c r="J149" s="150"/>
      <c r="K149" s="698">
        <f>K151</f>
        <v>0</v>
      </c>
      <c r="L149" s="166">
        <f>L151</f>
        <v>0</v>
      </c>
      <c r="M149" s="166">
        <f>M151</f>
        <v>0</v>
      </c>
      <c r="N149" s="166">
        <f>N150</f>
        <v>25766.9</v>
      </c>
    </row>
    <row r="150" spans="1:14" s="147" customFormat="1" ht="37.5" customHeight="1">
      <c r="A150" s="151"/>
      <c r="B150" s="622" t="s">
        <v>881</v>
      </c>
      <c r="C150" s="165" t="s">
        <v>3</v>
      </c>
      <c r="D150" s="150" t="s">
        <v>86</v>
      </c>
      <c r="E150" s="150" t="s">
        <v>57</v>
      </c>
      <c r="F150" s="744" t="s">
        <v>125</v>
      </c>
      <c r="G150" s="745" t="s">
        <v>882</v>
      </c>
      <c r="H150" s="745" t="s">
        <v>63</v>
      </c>
      <c r="I150" s="746" t="s">
        <v>64</v>
      </c>
      <c r="J150" s="150"/>
      <c r="K150" s="698"/>
      <c r="L150" s="166"/>
      <c r="M150" s="166"/>
      <c r="N150" s="166">
        <f>N151</f>
        <v>25766.9</v>
      </c>
    </row>
    <row r="151" spans="1:14" s="147" customFormat="1" ht="56.25" customHeight="1">
      <c r="A151" s="151"/>
      <c r="B151" s="164" t="s">
        <v>826</v>
      </c>
      <c r="C151" s="165" t="s">
        <v>3</v>
      </c>
      <c r="D151" s="150" t="s">
        <v>86</v>
      </c>
      <c r="E151" s="150" t="s">
        <v>57</v>
      </c>
      <c r="F151" s="744" t="s">
        <v>125</v>
      </c>
      <c r="G151" s="745" t="s">
        <v>882</v>
      </c>
      <c r="H151" s="745" t="s">
        <v>823</v>
      </c>
      <c r="I151" s="746" t="s">
        <v>64</v>
      </c>
      <c r="J151" s="150"/>
      <c r="K151" s="698">
        <f>K152+K154</f>
        <v>0</v>
      </c>
      <c r="L151" s="166">
        <f>L152+L154</f>
        <v>0</v>
      </c>
      <c r="M151" s="166">
        <f>M152+M154</f>
        <v>0</v>
      </c>
      <c r="N151" s="166">
        <f>N152+N154</f>
        <v>25766.9</v>
      </c>
    </row>
    <row r="152" spans="1:14" s="147" customFormat="1" ht="109.5" customHeight="1">
      <c r="A152" s="151"/>
      <c r="B152" s="164" t="s">
        <v>827</v>
      </c>
      <c r="C152" s="165" t="s">
        <v>3</v>
      </c>
      <c r="D152" s="150" t="s">
        <v>86</v>
      </c>
      <c r="E152" s="150" t="s">
        <v>57</v>
      </c>
      <c r="F152" s="744" t="s">
        <v>125</v>
      </c>
      <c r="G152" s="745" t="s">
        <v>882</v>
      </c>
      <c r="H152" s="745" t="s">
        <v>823</v>
      </c>
      <c r="I152" s="746" t="s">
        <v>824</v>
      </c>
      <c r="J152" s="150"/>
      <c r="K152" s="698">
        <f>K153</f>
        <v>0</v>
      </c>
      <c r="L152" s="166">
        <f>L153</f>
        <v>0</v>
      </c>
      <c r="M152" s="166">
        <f>M153</f>
        <v>0</v>
      </c>
      <c r="N152" s="166">
        <f>N153</f>
        <v>20613.5</v>
      </c>
    </row>
    <row r="153" spans="1:14" s="147" customFormat="1" ht="56.25">
      <c r="A153" s="151"/>
      <c r="B153" s="164" t="s">
        <v>225</v>
      </c>
      <c r="C153" s="165" t="s">
        <v>3</v>
      </c>
      <c r="D153" s="150" t="s">
        <v>86</v>
      </c>
      <c r="E153" s="150" t="s">
        <v>57</v>
      </c>
      <c r="F153" s="744" t="s">
        <v>125</v>
      </c>
      <c r="G153" s="745" t="s">
        <v>882</v>
      </c>
      <c r="H153" s="745" t="s">
        <v>823</v>
      </c>
      <c r="I153" s="746" t="s">
        <v>824</v>
      </c>
      <c r="J153" s="150" t="s">
        <v>226</v>
      </c>
      <c r="K153" s="698">
        <v>0</v>
      </c>
      <c r="L153" s="166">
        <f>M153-K153</f>
        <v>0</v>
      </c>
      <c r="M153" s="166">
        <v>0</v>
      </c>
      <c r="N153" s="166">
        <v>20613.5</v>
      </c>
    </row>
    <row r="154" spans="1:14" s="147" customFormat="1" ht="112.5" customHeight="1">
      <c r="A154" s="151"/>
      <c r="B154" s="164" t="s">
        <v>827</v>
      </c>
      <c r="C154" s="165" t="s">
        <v>3</v>
      </c>
      <c r="D154" s="150" t="s">
        <v>86</v>
      </c>
      <c r="E154" s="150" t="s">
        <v>57</v>
      </c>
      <c r="F154" s="744" t="s">
        <v>125</v>
      </c>
      <c r="G154" s="745" t="s">
        <v>882</v>
      </c>
      <c r="H154" s="745" t="s">
        <v>823</v>
      </c>
      <c r="I154" s="746" t="s">
        <v>825</v>
      </c>
      <c r="J154" s="150"/>
      <c r="K154" s="698">
        <f>K155</f>
        <v>0</v>
      </c>
      <c r="L154" s="166">
        <f>L155</f>
        <v>0</v>
      </c>
      <c r="M154" s="166">
        <f>M155</f>
        <v>0</v>
      </c>
      <c r="N154" s="166">
        <f>N155</f>
        <v>5153.3999999999996</v>
      </c>
    </row>
    <row r="155" spans="1:14" s="147" customFormat="1" ht="56.25">
      <c r="A155" s="151"/>
      <c r="B155" s="363" t="s">
        <v>225</v>
      </c>
      <c r="C155" s="165" t="s">
        <v>3</v>
      </c>
      <c r="D155" s="150" t="s">
        <v>86</v>
      </c>
      <c r="E155" s="150" t="s">
        <v>57</v>
      </c>
      <c r="F155" s="744" t="s">
        <v>125</v>
      </c>
      <c r="G155" s="745" t="s">
        <v>882</v>
      </c>
      <c r="H155" s="745" t="s">
        <v>823</v>
      </c>
      <c r="I155" s="746" t="s">
        <v>825</v>
      </c>
      <c r="J155" s="150" t="s">
        <v>226</v>
      </c>
      <c r="K155" s="698">
        <v>0</v>
      </c>
      <c r="L155" s="166">
        <f>M155-K155</f>
        <v>0</v>
      </c>
      <c r="M155" s="166">
        <v>0</v>
      </c>
      <c r="N155" s="166">
        <v>5153.3999999999996</v>
      </c>
    </row>
    <row r="156" spans="1:14" s="392" customFormat="1" ht="18.75">
      <c r="A156" s="151"/>
      <c r="B156" s="164" t="s">
        <v>140</v>
      </c>
      <c r="C156" s="165" t="s">
        <v>3</v>
      </c>
      <c r="D156" s="150" t="s">
        <v>125</v>
      </c>
      <c r="E156" s="150"/>
      <c r="F156" s="744"/>
      <c r="G156" s="745"/>
      <c r="H156" s="745"/>
      <c r="I156" s="746"/>
      <c r="J156" s="150"/>
      <c r="K156" s="698">
        <f>K157+K163</f>
        <v>1480.7</v>
      </c>
      <c r="L156" s="166">
        <f>L157+L163</f>
        <v>0</v>
      </c>
      <c r="M156" s="166">
        <f>M157+M163</f>
        <v>1480.7</v>
      </c>
      <c r="N156" s="166">
        <f>N157+N163</f>
        <v>1480.7</v>
      </c>
    </row>
    <row r="157" spans="1:14" s="392" customFormat="1" ht="18.75">
      <c r="A157" s="151"/>
      <c r="B157" s="164" t="s">
        <v>432</v>
      </c>
      <c r="C157" s="165" t="s">
        <v>3</v>
      </c>
      <c r="D157" s="150" t="s">
        <v>125</v>
      </c>
      <c r="E157" s="150" t="s">
        <v>57</v>
      </c>
      <c r="F157" s="744"/>
      <c r="G157" s="745"/>
      <c r="H157" s="745"/>
      <c r="I157" s="746"/>
      <c r="J157" s="150"/>
      <c r="K157" s="698">
        <f t="shared" ref="K157:N161" si="23">K158</f>
        <v>552</v>
      </c>
      <c r="L157" s="166">
        <f t="shared" si="23"/>
        <v>0</v>
      </c>
      <c r="M157" s="166">
        <f t="shared" si="23"/>
        <v>552</v>
      </c>
      <c r="N157" s="166">
        <f t="shared" si="23"/>
        <v>552</v>
      </c>
    </row>
    <row r="158" spans="1:14" s="392" customFormat="1" ht="56.25">
      <c r="A158" s="151"/>
      <c r="B158" s="171" t="s">
        <v>339</v>
      </c>
      <c r="C158" s="165" t="s">
        <v>3</v>
      </c>
      <c r="D158" s="150" t="s">
        <v>125</v>
      </c>
      <c r="E158" s="150" t="s">
        <v>57</v>
      </c>
      <c r="F158" s="744" t="s">
        <v>100</v>
      </c>
      <c r="G158" s="745" t="s">
        <v>62</v>
      </c>
      <c r="H158" s="745" t="s">
        <v>63</v>
      </c>
      <c r="I158" s="746" t="s">
        <v>64</v>
      </c>
      <c r="J158" s="150"/>
      <c r="K158" s="698">
        <f t="shared" si="23"/>
        <v>552</v>
      </c>
      <c r="L158" s="166">
        <f t="shared" si="23"/>
        <v>0</v>
      </c>
      <c r="M158" s="166">
        <f t="shared" si="23"/>
        <v>552</v>
      </c>
      <c r="N158" s="166">
        <f t="shared" si="23"/>
        <v>552</v>
      </c>
    </row>
    <row r="159" spans="1:14" s="392" customFormat="1" ht="37.5">
      <c r="A159" s="151"/>
      <c r="B159" s="164" t="s">
        <v>404</v>
      </c>
      <c r="C159" s="165" t="s">
        <v>3</v>
      </c>
      <c r="D159" s="150" t="s">
        <v>125</v>
      </c>
      <c r="E159" s="150" t="s">
        <v>57</v>
      </c>
      <c r="F159" s="744" t="s">
        <v>100</v>
      </c>
      <c r="G159" s="745" t="s">
        <v>65</v>
      </c>
      <c r="H159" s="745" t="s">
        <v>63</v>
      </c>
      <c r="I159" s="746" t="s">
        <v>64</v>
      </c>
      <c r="J159" s="150"/>
      <c r="K159" s="698">
        <f t="shared" si="23"/>
        <v>552</v>
      </c>
      <c r="L159" s="166">
        <f t="shared" si="23"/>
        <v>0</v>
      </c>
      <c r="M159" s="166">
        <f t="shared" si="23"/>
        <v>552</v>
      </c>
      <c r="N159" s="166">
        <f t="shared" si="23"/>
        <v>552</v>
      </c>
    </row>
    <row r="160" spans="1:14" s="392" customFormat="1" ht="93.75">
      <c r="A160" s="151"/>
      <c r="B160" s="167" t="s">
        <v>757</v>
      </c>
      <c r="C160" s="165" t="s">
        <v>3</v>
      </c>
      <c r="D160" s="150" t="s">
        <v>125</v>
      </c>
      <c r="E160" s="150" t="s">
        <v>57</v>
      </c>
      <c r="F160" s="744" t="s">
        <v>100</v>
      </c>
      <c r="G160" s="745" t="s">
        <v>65</v>
      </c>
      <c r="H160" s="745" t="s">
        <v>72</v>
      </c>
      <c r="I160" s="746" t="s">
        <v>64</v>
      </c>
      <c r="J160" s="150"/>
      <c r="K160" s="698">
        <f t="shared" si="23"/>
        <v>552</v>
      </c>
      <c r="L160" s="166">
        <f t="shared" si="23"/>
        <v>0</v>
      </c>
      <c r="M160" s="166">
        <f t="shared" si="23"/>
        <v>552</v>
      </c>
      <c r="N160" s="166">
        <f t="shared" si="23"/>
        <v>552</v>
      </c>
    </row>
    <row r="161" spans="1:14" s="392" customFormat="1" ht="75.75" customHeight="1">
      <c r="A161" s="151"/>
      <c r="B161" s="167" t="s">
        <v>749</v>
      </c>
      <c r="C161" s="165" t="s">
        <v>3</v>
      </c>
      <c r="D161" s="150" t="s">
        <v>125</v>
      </c>
      <c r="E161" s="150" t="s">
        <v>57</v>
      </c>
      <c r="F161" s="744" t="s">
        <v>100</v>
      </c>
      <c r="G161" s="745" t="s">
        <v>65</v>
      </c>
      <c r="H161" s="745" t="s">
        <v>72</v>
      </c>
      <c r="I161" s="746" t="s">
        <v>433</v>
      </c>
      <c r="J161" s="150"/>
      <c r="K161" s="698">
        <f t="shared" si="23"/>
        <v>552</v>
      </c>
      <c r="L161" s="166">
        <f t="shared" si="23"/>
        <v>0</v>
      </c>
      <c r="M161" s="166">
        <f t="shared" si="23"/>
        <v>552</v>
      </c>
      <c r="N161" s="166">
        <f t="shared" si="23"/>
        <v>552</v>
      </c>
    </row>
    <row r="162" spans="1:14" s="392" customFormat="1" ht="37.5">
      <c r="A162" s="151"/>
      <c r="B162" s="168" t="s">
        <v>141</v>
      </c>
      <c r="C162" s="165" t="s">
        <v>3</v>
      </c>
      <c r="D162" s="150" t="s">
        <v>125</v>
      </c>
      <c r="E162" s="150" t="s">
        <v>57</v>
      </c>
      <c r="F162" s="744" t="s">
        <v>100</v>
      </c>
      <c r="G162" s="745" t="s">
        <v>65</v>
      </c>
      <c r="H162" s="745" t="s">
        <v>72</v>
      </c>
      <c r="I162" s="746" t="s">
        <v>433</v>
      </c>
      <c r="J162" s="150" t="s">
        <v>142</v>
      </c>
      <c r="K162" s="698">
        <v>552</v>
      </c>
      <c r="L162" s="166">
        <f>M162-K162</f>
        <v>0</v>
      </c>
      <c r="M162" s="166">
        <v>552</v>
      </c>
      <c r="N162" s="166">
        <v>552</v>
      </c>
    </row>
    <row r="163" spans="1:14" s="392" customFormat="1" ht="37.5">
      <c r="A163" s="151"/>
      <c r="B163" s="164" t="s">
        <v>143</v>
      </c>
      <c r="C163" s="165" t="s">
        <v>3</v>
      </c>
      <c r="D163" s="150" t="s">
        <v>125</v>
      </c>
      <c r="E163" s="150" t="s">
        <v>102</v>
      </c>
      <c r="F163" s="744"/>
      <c r="G163" s="745"/>
      <c r="H163" s="745"/>
      <c r="I163" s="746"/>
      <c r="J163" s="150"/>
      <c r="K163" s="698">
        <f t="shared" ref="K163:M166" si="24">K164</f>
        <v>928.7</v>
      </c>
      <c r="L163" s="166">
        <f t="shared" si="24"/>
        <v>0</v>
      </c>
      <c r="M163" s="166">
        <f t="shared" si="24"/>
        <v>928.7</v>
      </c>
      <c r="N163" s="166">
        <f t="shared" ref="N163:N166" si="25">N164</f>
        <v>928.7</v>
      </c>
    </row>
    <row r="164" spans="1:14" s="392" customFormat="1" ht="75">
      <c r="A164" s="151"/>
      <c r="B164" s="164" t="s">
        <v>93</v>
      </c>
      <c r="C164" s="165" t="s">
        <v>3</v>
      </c>
      <c r="D164" s="150" t="s">
        <v>125</v>
      </c>
      <c r="E164" s="150" t="s">
        <v>102</v>
      </c>
      <c r="F164" s="744" t="s">
        <v>94</v>
      </c>
      <c r="G164" s="745" t="s">
        <v>62</v>
      </c>
      <c r="H164" s="745" t="s">
        <v>63</v>
      </c>
      <c r="I164" s="746" t="s">
        <v>64</v>
      </c>
      <c r="J164" s="150"/>
      <c r="K164" s="698">
        <f t="shared" si="24"/>
        <v>928.7</v>
      </c>
      <c r="L164" s="166">
        <f t="shared" si="24"/>
        <v>0</v>
      </c>
      <c r="M164" s="166">
        <f t="shared" si="24"/>
        <v>928.7</v>
      </c>
      <c r="N164" s="166">
        <f t="shared" si="25"/>
        <v>928.7</v>
      </c>
    </row>
    <row r="165" spans="1:14" s="392" customFormat="1" ht="37.5">
      <c r="A165" s="151"/>
      <c r="B165" s="164" t="s">
        <v>404</v>
      </c>
      <c r="C165" s="165" t="s">
        <v>3</v>
      </c>
      <c r="D165" s="150" t="s">
        <v>125</v>
      </c>
      <c r="E165" s="150" t="s">
        <v>102</v>
      </c>
      <c r="F165" s="744" t="s">
        <v>94</v>
      </c>
      <c r="G165" s="745" t="s">
        <v>65</v>
      </c>
      <c r="H165" s="745" t="s">
        <v>63</v>
      </c>
      <c r="I165" s="746" t="s">
        <v>64</v>
      </c>
      <c r="J165" s="150"/>
      <c r="K165" s="698">
        <f t="shared" si="24"/>
        <v>928.7</v>
      </c>
      <c r="L165" s="166">
        <f t="shared" si="24"/>
        <v>0</v>
      </c>
      <c r="M165" s="166">
        <f t="shared" si="24"/>
        <v>928.7</v>
      </c>
      <c r="N165" s="166">
        <f t="shared" si="25"/>
        <v>928.7</v>
      </c>
    </row>
    <row r="166" spans="1:14" s="392" customFormat="1" ht="56.25">
      <c r="A166" s="151"/>
      <c r="B166" s="167" t="s">
        <v>306</v>
      </c>
      <c r="C166" s="165" t="s">
        <v>3</v>
      </c>
      <c r="D166" s="150" t="s">
        <v>125</v>
      </c>
      <c r="E166" s="150" t="s">
        <v>102</v>
      </c>
      <c r="F166" s="744" t="s">
        <v>94</v>
      </c>
      <c r="G166" s="745" t="s">
        <v>65</v>
      </c>
      <c r="H166" s="745" t="s">
        <v>57</v>
      </c>
      <c r="I166" s="746" t="s">
        <v>64</v>
      </c>
      <c r="J166" s="150"/>
      <c r="K166" s="698">
        <f t="shared" si="24"/>
        <v>928.7</v>
      </c>
      <c r="L166" s="166">
        <f t="shared" si="24"/>
        <v>0</v>
      </c>
      <c r="M166" s="166">
        <f t="shared" si="24"/>
        <v>928.7</v>
      </c>
      <c r="N166" s="166">
        <f t="shared" si="25"/>
        <v>928.7</v>
      </c>
    </row>
    <row r="167" spans="1:14" s="392" customFormat="1" ht="56.25">
      <c r="A167" s="151"/>
      <c r="B167" s="167" t="s">
        <v>95</v>
      </c>
      <c r="C167" s="165" t="s">
        <v>3</v>
      </c>
      <c r="D167" s="150" t="s">
        <v>125</v>
      </c>
      <c r="E167" s="150" t="s">
        <v>102</v>
      </c>
      <c r="F167" s="744" t="s">
        <v>94</v>
      </c>
      <c r="G167" s="745" t="s">
        <v>65</v>
      </c>
      <c r="H167" s="745" t="s">
        <v>57</v>
      </c>
      <c r="I167" s="746" t="s">
        <v>96</v>
      </c>
      <c r="J167" s="150"/>
      <c r="K167" s="698">
        <f>K168</f>
        <v>928.7</v>
      </c>
      <c r="L167" s="166">
        <f>L168</f>
        <v>0</v>
      </c>
      <c r="M167" s="166">
        <f>M168</f>
        <v>928.7</v>
      </c>
      <c r="N167" s="166">
        <f>N168</f>
        <v>928.7</v>
      </c>
    </row>
    <row r="168" spans="1:14" s="392" customFormat="1" ht="56.25">
      <c r="A168" s="151"/>
      <c r="B168" s="168" t="s">
        <v>97</v>
      </c>
      <c r="C168" s="165" t="s">
        <v>3</v>
      </c>
      <c r="D168" s="150" t="s">
        <v>125</v>
      </c>
      <c r="E168" s="150" t="s">
        <v>102</v>
      </c>
      <c r="F168" s="744" t="s">
        <v>94</v>
      </c>
      <c r="G168" s="745" t="s">
        <v>65</v>
      </c>
      <c r="H168" s="745" t="s">
        <v>57</v>
      </c>
      <c r="I168" s="746" t="s">
        <v>96</v>
      </c>
      <c r="J168" s="150" t="s">
        <v>98</v>
      </c>
      <c r="K168" s="698">
        <v>928.7</v>
      </c>
      <c r="L168" s="166">
        <f>M168-K168</f>
        <v>0</v>
      </c>
      <c r="M168" s="166">
        <v>928.7</v>
      </c>
      <c r="N168" s="166">
        <v>928.7</v>
      </c>
    </row>
    <row r="169" spans="1:14" s="392" customFormat="1" ht="37.5">
      <c r="A169" s="151"/>
      <c r="B169" s="667" t="s">
        <v>475</v>
      </c>
      <c r="C169" s="165" t="s">
        <v>3</v>
      </c>
      <c r="D169" s="150" t="s">
        <v>92</v>
      </c>
      <c r="E169" s="150"/>
      <c r="F169" s="744"/>
      <c r="G169" s="745"/>
      <c r="H169" s="745"/>
      <c r="I169" s="746"/>
      <c r="J169" s="150"/>
      <c r="K169" s="698">
        <f t="shared" ref="K169:N174" si="26">K170</f>
        <v>9.4</v>
      </c>
      <c r="L169" s="166">
        <f t="shared" si="26"/>
        <v>0</v>
      </c>
      <c r="M169" s="166">
        <f t="shared" si="26"/>
        <v>9.4</v>
      </c>
      <c r="N169" s="166">
        <f t="shared" si="26"/>
        <v>0</v>
      </c>
    </row>
    <row r="170" spans="1:14" s="392" customFormat="1" ht="37.5">
      <c r="A170" s="151"/>
      <c r="B170" s="651" t="s">
        <v>772</v>
      </c>
      <c r="C170" s="165" t="s">
        <v>3</v>
      </c>
      <c r="D170" s="150" t="s">
        <v>92</v>
      </c>
      <c r="E170" s="150" t="s">
        <v>57</v>
      </c>
      <c r="F170" s="744"/>
      <c r="G170" s="745"/>
      <c r="H170" s="745"/>
      <c r="I170" s="746"/>
      <c r="J170" s="150"/>
      <c r="K170" s="698">
        <f t="shared" si="26"/>
        <v>9.4</v>
      </c>
      <c r="L170" s="166">
        <f t="shared" si="26"/>
        <v>0</v>
      </c>
      <c r="M170" s="166">
        <f t="shared" si="26"/>
        <v>9.4</v>
      </c>
      <c r="N170" s="166">
        <f t="shared" si="26"/>
        <v>0</v>
      </c>
    </row>
    <row r="171" spans="1:14" s="392" customFormat="1" ht="55.5" customHeight="1">
      <c r="A171" s="151"/>
      <c r="B171" s="164" t="s">
        <v>60</v>
      </c>
      <c r="C171" s="165" t="s">
        <v>3</v>
      </c>
      <c r="D171" s="150" t="s">
        <v>92</v>
      </c>
      <c r="E171" s="150" t="s">
        <v>57</v>
      </c>
      <c r="F171" s="744" t="s">
        <v>61</v>
      </c>
      <c r="G171" s="745" t="s">
        <v>62</v>
      </c>
      <c r="H171" s="745" t="s">
        <v>63</v>
      </c>
      <c r="I171" s="746" t="s">
        <v>64</v>
      </c>
      <c r="J171" s="150"/>
      <c r="K171" s="698">
        <f t="shared" si="26"/>
        <v>9.4</v>
      </c>
      <c r="L171" s="166">
        <f t="shared" si="26"/>
        <v>0</v>
      </c>
      <c r="M171" s="166">
        <f t="shared" si="26"/>
        <v>9.4</v>
      </c>
      <c r="N171" s="166">
        <f t="shared" si="26"/>
        <v>0</v>
      </c>
    </row>
    <row r="172" spans="1:14" s="392" customFormat="1" ht="37.5">
      <c r="A172" s="151"/>
      <c r="B172" s="164" t="s">
        <v>404</v>
      </c>
      <c r="C172" s="165" t="s">
        <v>3</v>
      </c>
      <c r="D172" s="150" t="s">
        <v>92</v>
      </c>
      <c r="E172" s="150" t="s">
        <v>57</v>
      </c>
      <c r="F172" s="744" t="s">
        <v>61</v>
      </c>
      <c r="G172" s="745" t="s">
        <v>65</v>
      </c>
      <c r="H172" s="745" t="s">
        <v>63</v>
      </c>
      <c r="I172" s="746" t="s">
        <v>64</v>
      </c>
      <c r="J172" s="150"/>
      <c r="K172" s="698">
        <f t="shared" si="26"/>
        <v>9.4</v>
      </c>
      <c r="L172" s="166">
        <f t="shared" si="26"/>
        <v>0</v>
      </c>
      <c r="M172" s="166">
        <f t="shared" si="26"/>
        <v>9.4</v>
      </c>
      <c r="N172" s="166">
        <f t="shared" si="26"/>
        <v>0</v>
      </c>
    </row>
    <row r="173" spans="1:14" s="392" customFormat="1" ht="56.25">
      <c r="A173" s="151"/>
      <c r="B173" s="168" t="s">
        <v>472</v>
      </c>
      <c r="C173" s="165" t="s">
        <v>3</v>
      </c>
      <c r="D173" s="150" t="s">
        <v>92</v>
      </c>
      <c r="E173" s="150" t="s">
        <v>57</v>
      </c>
      <c r="F173" s="744" t="s">
        <v>61</v>
      </c>
      <c r="G173" s="745" t="s">
        <v>65</v>
      </c>
      <c r="H173" s="745" t="s">
        <v>100</v>
      </c>
      <c r="I173" s="746" t="s">
        <v>64</v>
      </c>
      <c r="J173" s="150"/>
      <c r="K173" s="698">
        <f t="shared" si="26"/>
        <v>9.4</v>
      </c>
      <c r="L173" s="166">
        <f t="shared" si="26"/>
        <v>0</v>
      </c>
      <c r="M173" s="166">
        <f t="shared" si="26"/>
        <v>9.4</v>
      </c>
      <c r="N173" s="166">
        <f t="shared" si="26"/>
        <v>0</v>
      </c>
    </row>
    <row r="174" spans="1:14" s="392" customFormat="1" ht="24.75" customHeight="1">
      <c r="A174" s="151"/>
      <c r="B174" s="168" t="s">
        <v>473</v>
      </c>
      <c r="C174" s="165" t="s">
        <v>3</v>
      </c>
      <c r="D174" s="150" t="s">
        <v>92</v>
      </c>
      <c r="E174" s="150" t="s">
        <v>57</v>
      </c>
      <c r="F174" s="744" t="s">
        <v>61</v>
      </c>
      <c r="G174" s="745" t="s">
        <v>65</v>
      </c>
      <c r="H174" s="745" t="s">
        <v>100</v>
      </c>
      <c r="I174" s="746" t="s">
        <v>474</v>
      </c>
      <c r="J174" s="150"/>
      <c r="K174" s="698">
        <f t="shared" si="26"/>
        <v>9.4</v>
      </c>
      <c r="L174" s="166">
        <f t="shared" si="26"/>
        <v>0</v>
      </c>
      <c r="M174" s="166">
        <f t="shared" si="26"/>
        <v>9.4</v>
      </c>
      <c r="N174" s="166">
        <f t="shared" si="26"/>
        <v>0</v>
      </c>
    </row>
    <row r="175" spans="1:14" s="392" customFormat="1" ht="37.5">
      <c r="A175" s="151"/>
      <c r="B175" s="168" t="s">
        <v>475</v>
      </c>
      <c r="C175" s="165" t="s">
        <v>3</v>
      </c>
      <c r="D175" s="150" t="s">
        <v>92</v>
      </c>
      <c r="E175" s="150" t="s">
        <v>57</v>
      </c>
      <c r="F175" s="744" t="s">
        <v>61</v>
      </c>
      <c r="G175" s="745" t="s">
        <v>65</v>
      </c>
      <c r="H175" s="745" t="s">
        <v>100</v>
      </c>
      <c r="I175" s="746" t="s">
        <v>474</v>
      </c>
      <c r="J175" s="150" t="s">
        <v>476</v>
      </c>
      <c r="K175" s="698">
        <v>9.4</v>
      </c>
      <c r="L175" s="166">
        <f>M175-K175</f>
        <v>0</v>
      </c>
      <c r="M175" s="166">
        <v>9.4</v>
      </c>
      <c r="N175" s="166">
        <v>0</v>
      </c>
    </row>
    <row r="176" spans="1:14" s="392" customFormat="1" ht="18.75">
      <c r="A176" s="151"/>
      <c r="B176" s="168"/>
      <c r="C176" s="165"/>
      <c r="D176" s="150"/>
      <c r="E176" s="150"/>
      <c r="F176" s="744"/>
      <c r="G176" s="745"/>
      <c r="H176" s="745"/>
      <c r="I176" s="746"/>
      <c r="J176" s="150"/>
      <c r="K176" s="698"/>
      <c r="L176" s="166"/>
      <c r="M176" s="166"/>
      <c r="N176" s="166"/>
    </row>
    <row r="177" spans="1:14" ht="56.25">
      <c r="A177" s="391">
        <v>2</v>
      </c>
      <c r="B177" s="158" t="s">
        <v>10</v>
      </c>
      <c r="C177" s="159" t="s">
        <v>354</v>
      </c>
      <c r="D177" s="160"/>
      <c r="E177" s="160"/>
      <c r="F177" s="161"/>
      <c r="G177" s="162"/>
      <c r="H177" s="162"/>
      <c r="I177" s="163"/>
      <c r="J177" s="160"/>
      <c r="K177" s="697">
        <f>K178+K196</f>
        <v>33406.9</v>
      </c>
      <c r="L177" s="189">
        <f>L178+L196</f>
        <v>0</v>
      </c>
      <c r="M177" s="189">
        <f>M178+M196</f>
        <v>33406.9</v>
      </c>
      <c r="N177" s="189">
        <f>N178+N196</f>
        <v>33407.599999999999</v>
      </c>
    </row>
    <row r="178" spans="1:14" s="396" customFormat="1" ht="18.75">
      <c r="A178" s="151"/>
      <c r="B178" s="164" t="s">
        <v>56</v>
      </c>
      <c r="C178" s="165" t="s">
        <v>354</v>
      </c>
      <c r="D178" s="150" t="s">
        <v>57</v>
      </c>
      <c r="E178" s="150"/>
      <c r="F178" s="744"/>
      <c r="G178" s="745"/>
      <c r="H178" s="745"/>
      <c r="I178" s="746"/>
      <c r="J178" s="150"/>
      <c r="K178" s="698">
        <f>K179+K187</f>
        <v>27906.9</v>
      </c>
      <c r="L178" s="166">
        <f>L179+L187</f>
        <v>0</v>
      </c>
      <c r="M178" s="166">
        <f>M179+M187</f>
        <v>27906.9</v>
      </c>
      <c r="N178" s="166">
        <f>N179+N187</f>
        <v>27907.599999999999</v>
      </c>
    </row>
    <row r="179" spans="1:14" s="397" customFormat="1" ht="75">
      <c r="A179" s="151"/>
      <c r="B179" s="164" t="s">
        <v>151</v>
      </c>
      <c r="C179" s="165" t="s">
        <v>354</v>
      </c>
      <c r="D179" s="150" t="s">
        <v>57</v>
      </c>
      <c r="E179" s="150" t="s">
        <v>102</v>
      </c>
      <c r="F179" s="744"/>
      <c r="G179" s="745"/>
      <c r="H179" s="745"/>
      <c r="I179" s="746"/>
      <c r="J179" s="150"/>
      <c r="K179" s="698">
        <f t="shared" ref="K179:N182" si="27">K180</f>
        <v>25025.600000000002</v>
      </c>
      <c r="L179" s="166">
        <f t="shared" si="27"/>
        <v>0</v>
      </c>
      <c r="M179" s="166">
        <f t="shared" si="27"/>
        <v>25025.600000000002</v>
      </c>
      <c r="N179" s="166">
        <f t="shared" si="27"/>
        <v>25026.3</v>
      </c>
    </row>
    <row r="180" spans="1:14" s="392" customFormat="1" ht="54.75" customHeight="1">
      <c r="A180" s="151"/>
      <c r="B180" s="164" t="s">
        <v>245</v>
      </c>
      <c r="C180" s="165" t="s">
        <v>354</v>
      </c>
      <c r="D180" s="150" t="s">
        <v>57</v>
      </c>
      <c r="E180" s="150" t="s">
        <v>102</v>
      </c>
      <c r="F180" s="744" t="s">
        <v>246</v>
      </c>
      <c r="G180" s="745" t="s">
        <v>62</v>
      </c>
      <c r="H180" s="745" t="s">
        <v>63</v>
      </c>
      <c r="I180" s="746" t="s">
        <v>64</v>
      </c>
      <c r="J180" s="150"/>
      <c r="K180" s="698">
        <f t="shared" si="27"/>
        <v>25025.600000000002</v>
      </c>
      <c r="L180" s="166">
        <f t="shared" si="27"/>
        <v>0</v>
      </c>
      <c r="M180" s="166">
        <f t="shared" si="27"/>
        <v>25025.600000000002</v>
      </c>
      <c r="N180" s="166">
        <f t="shared" si="27"/>
        <v>25026.3</v>
      </c>
    </row>
    <row r="181" spans="1:14" s="392" customFormat="1" ht="37.5">
      <c r="A181" s="151"/>
      <c r="B181" s="164" t="s">
        <v>404</v>
      </c>
      <c r="C181" s="165" t="s">
        <v>354</v>
      </c>
      <c r="D181" s="150" t="s">
        <v>57</v>
      </c>
      <c r="E181" s="150" t="s">
        <v>102</v>
      </c>
      <c r="F181" s="172" t="s">
        <v>246</v>
      </c>
      <c r="G181" s="173" t="s">
        <v>65</v>
      </c>
      <c r="H181" s="745" t="s">
        <v>63</v>
      </c>
      <c r="I181" s="746" t="s">
        <v>64</v>
      </c>
      <c r="J181" s="150"/>
      <c r="K181" s="698">
        <f>K182</f>
        <v>25025.600000000002</v>
      </c>
      <c r="L181" s="166">
        <f>L182</f>
        <v>0</v>
      </c>
      <c r="M181" s="166">
        <f>M182</f>
        <v>25025.600000000002</v>
      </c>
      <c r="N181" s="166">
        <f>N182</f>
        <v>25026.3</v>
      </c>
    </row>
    <row r="182" spans="1:14" s="392" customFormat="1" ht="56.25">
      <c r="A182" s="151"/>
      <c r="B182" s="164" t="s">
        <v>355</v>
      </c>
      <c r="C182" s="165" t="s">
        <v>354</v>
      </c>
      <c r="D182" s="150" t="s">
        <v>57</v>
      </c>
      <c r="E182" s="150" t="s">
        <v>102</v>
      </c>
      <c r="F182" s="172" t="s">
        <v>246</v>
      </c>
      <c r="G182" s="173" t="s">
        <v>65</v>
      </c>
      <c r="H182" s="745" t="s">
        <v>57</v>
      </c>
      <c r="I182" s="746" t="s">
        <v>64</v>
      </c>
      <c r="J182" s="150"/>
      <c r="K182" s="698">
        <f t="shared" si="27"/>
        <v>25025.600000000002</v>
      </c>
      <c r="L182" s="166">
        <f t="shared" si="27"/>
        <v>0</v>
      </c>
      <c r="M182" s="166">
        <f t="shared" si="27"/>
        <v>25025.600000000002</v>
      </c>
      <c r="N182" s="166">
        <f t="shared" si="27"/>
        <v>25026.3</v>
      </c>
    </row>
    <row r="183" spans="1:14" s="392" customFormat="1" ht="37.5">
      <c r="A183" s="151"/>
      <c r="B183" s="164" t="s">
        <v>67</v>
      </c>
      <c r="C183" s="165" t="s">
        <v>354</v>
      </c>
      <c r="D183" s="150" t="s">
        <v>57</v>
      </c>
      <c r="E183" s="150" t="s">
        <v>102</v>
      </c>
      <c r="F183" s="172" t="s">
        <v>246</v>
      </c>
      <c r="G183" s="173" t="s">
        <v>65</v>
      </c>
      <c r="H183" s="745" t="s">
        <v>57</v>
      </c>
      <c r="I183" s="746" t="s">
        <v>68</v>
      </c>
      <c r="J183" s="150"/>
      <c r="K183" s="698">
        <f>SUM(K184:K186)</f>
        <v>25025.600000000002</v>
      </c>
      <c r="L183" s="166">
        <f>SUM(L184:L186)</f>
        <v>0</v>
      </c>
      <c r="M183" s="166">
        <f>SUM(M184:M186)</f>
        <v>25025.600000000002</v>
      </c>
      <c r="N183" s="166">
        <f>SUM(N184:N186)</f>
        <v>25026.3</v>
      </c>
    </row>
    <row r="184" spans="1:14" s="392" customFormat="1" ht="112.5">
      <c r="A184" s="151"/>
      <c r="B184" s="164" t="s">
        <v>69</v>
      </c>
      <c r="C184" s="165" t="s">
        <v>354</v>
      </c>
      <c r="D184" s="150" t="s">
        <v>57</v>
      </c>
      <c r="E184" s="150" t="s">
        <v>102</v>
      </c>
      <c r="F184" s="172" t="s">
        <v>246</v>
      </c>
      <c r="G184" s="173" t="s">
        <v>65</v>
      </c>
      <c r="H184" s="745" t="s">
        <v>57</v>
      </c>
      <c r="I184" s="746" t="s">
        <v>68</v>
      </c>
      <c r="J184" s="150" t="s">
        <v>70</v>
      </c>
      <c r="K184" s="698">
        <v>24258.5</v>
      </c>
      <c r="L184" s="166">
        <f>M184-K184</f>
        <v>0</v>
      </c>
      <c r="M184" s="166">
        <v>24258.5</v>
      </c>
      <c r="N184" s="166">
        <v>24258.5</v>
      </c>
    </row>
    <row r="185" spans="1:14" s="392" customFormat="1" ht="56.25">
      <c r="A185" s="151"/>
      <c r="B185" s="164" t="s">
        <v>75</v>
      </c>
      <c r="C185" s="165" t="s">
        <v>354</v>
      </c>
      <c r="D185" s="150" t="s">
        <v>57</v>
      </c>
      <c r="E185" s="150" t="s">
        <v>102</v>
      </c>
      <c r="F185" s="172" t="s">
        <v>246</v>
      </c>
      <c r="G185" s="173" t="s">
        <v>65</v>
      </c>
      <c r="H185" s="745" t="s">
        <v>57</v>
      </c>
      <c r="I185" s="746" t="s">
        <v>68</v>
      </c>
      <c r="J185" s="150" t="s">
        <v>76</v>
      </c>
      <c r="K185" s="698">
        <v>762.4</v>
      </c>
      <c r="L185" s="166">
        <f>M185-K185</f>
        <v>0</v>
      </c>
      <c r="M185" s="166">
        <v>762.4</v>
      </c>
      <c r="N185" s="166">
        <v>763.2</v>
      </c>
    </row>
    <row r="186" spans="1:14" s="397" customFormat="1" ht="18.75">
      <c r="A186" s="151"/>
      <c r="B186" s="164" t="s">
        <v>77</v>
      </c>
      <c r="C186" s="165" t="s">
        <v>354</v>
      </c>
      <c r="D186" s="150" t="s">
        <v>57</v>
      </c>
      <c r="E186" s="150" t="s">
        <v>102</v>
      </c>
      <c r="F186" s="172" t="s">
        <v>246</v>
      </c>
      <c r="G186" s="173" t="s">
        <v>65</v>
      </c>
      <c r="H186" s="745" t="s">
        <v>57</v>
      </c>
      <c r="I186" s="746" t="s">
        <v>68</v>
      </c>
      <c r="J186" s="150" t="s">
        <v>78</v>
      </c>
      <c r="K186" s="698">
        <v>4.7</v>
      </c>
      <c r="L186" s="166">
        <f>M186-K186</f>
        <v>0</v>
      </c>
      <c r="M186" s="166">
        <v>4.7</v>
      </c>
      <c r="N186" s="166">
        <v>4.5999999999999996</v>
      </c>
    </row>
    <row r="187" spans="1:14" s="397" customFormat="1" ht="18.75">
      <c r="A187" s="151"/>
      <c r="B187" s="164" t="s">
        <v>91</v>
      </c>
      <c r="C187" s="165" t="s">
        <v>354</v>
      </c>
      <c r="D187" s="150" t="s">
        <v>57</v>
      </c>
      <c r="E187" s="150" t="s">
        <v>92</v>
      </c>
      <c r="F187" s="172"/>
      <c r="G187" s="173"/>
      <c r="H187" s="745"/>
      <c r="I187" s="746"/>
      <c r="J187" s="150"/>
      <c r="K187" s="698">
        <f t="shared" ref="K187:N188" si="28">K188</f>
        <v>2881.3</v>
      </c>
      <c r="L187" s="166">
        <f t="shared" si="28"/>
        <v>0</v>
      </c>
      <c r="M187" s="166">
        <f t="shared" si="28"/>
        <v>2881.3</v>
      </c>
      <c r="N187" s="166">
        <f t="shared" si="28"/>
        <v>2881.3</v>
      </c>
    </row>
    <row r="188" spans="1:14" s="397" customFormat="1" ht="56.25">
      <c r="A188" s="151"/>
      <c r="B188" s="164" t="s">
        <v>245</v>
      </c>
      <c r="C188" s="165" t="s">
        <v>354</v>
      </c>
      <c r="D188" s="150" t="s">
        <v>57</v>
      </c>
      <c r="E188" s="150" t="s">
        <v>92</v>
      </c>
      <c r="F188" s="172" t="s">
        <v>246</v>
      </c>
      <c r="G188" s="173" t="s">
        <v>62</v>
      </c>
      <c r="H188" s="745" t="s">
        <v>63</v>
      </c>
      <c r="I188" s="746" t="s">
        <v>64</v>
      </c>
      <c r="J188" s="150"/>
      <c r="K188" s="698">
        <f t="shared" si="28"/>
        <v>2881.3</v>
      </c>
      <c r="L188" s="166">
        <f t="shared" si="28"/>
        <v>0</v>
      </c>
      <c r="M188" s="166">
        <f t="shared" si="28"/>
        <v>2881.3</v>
      </c>
      <c r="N188" s="166">
        <f t="shared" si="28"/>
        <v>2881.3</v>
      </c>
    </row>
    <row r="189" spans="1:14" s="397" customFormat="1" ht="37.5">
      <c r="A189" s="151"/>
      <c r="B189" s="164" t="s">
        <v>404</v>
      </c>
      <c r="C189" s="165" t="s">
        <v>354</v>
      </c>
      <c r="D189" s="150" t="s">
        <v>57</v>
      </c>
      <c r="E189" s="150" t="s">
        <v>92</v>
      </c>
      <c r="F189" s="172" t="s">
        <v>246</v>
      </c>
      <c r="G189" s="173" t="s">
        <v>65</v>
      </c>
      <c r="H189" s="745" t="s">
        <v>63</v>
      </c>
      <c r="I189" s="746" t="s">
        <v>64</v>
      </c>
      <c r="J189" s="150"/>
      <c r="K189" s="698">
        <f>K190+K193</f>
        <v>2881.3</v>
      </c>
      <c r="L189" s="166">
        <f>L190+L193</f>
        <v>0</v>
      </c>
      <c r="M189" s="166">
        <f>M190+M193</f>
        <v>2881.3</v>
      </c>
      <c r="N189" s="166">
        <f>N190+N193</f>
        <v>2881.3</v>
      </c>
    </row>
    <row r="190" spans="1:14" s="397" customFormat="1" ht="37.5">
      <c r="A190" s="151"/>
      <c r="B190" s="164" t="s">
        <v>428</v>
      </c>
      <c r="C190" s="165" t="s">
        <v>354</v>
      </c>
      <c r="D190" s="150" t="s">
        <v>57</v>
      </c>
      <c r="E190" s="150" t="s">
        <v>92</v>
      </c>
      <c r="F190" s="172" t="s">
        <v>246</v>
      </c>
      <c r="G190" s="173" t="s">
        <v>65</v>
      </c>
      <c r="H190" s="745" t="s">
        <v>84</v>
      </c>
      <c r="I190" s="746" t="s">
        <v>64</v>
      </c>
      <c r="J190" s="150"/>
      <c r="K190" s="698">
        <f t="shared" ref="K190:N191" si="29">K191</f>
        <v>2863.3</v>
      </c>
      <c r="L190" s="166">
        <f t="shared" si="29"/>
        <v>0</v>
      </c>
      <c r="M190" s="166">
        <f t="shared" si="29"/>
        <v>2863.3</v>
      </c>
      <c r="N190" s="166">
        <f t="shared" si="29"/>
        <v>2863.3</v>
      </c>
    </row>
    <row r="191" spans="1:14" s="397" customFormat="1" ht="57" customHeight="1">
      <c r="A191" s="151"/>
      <c r="B191" s="164" t="s">
        <v>429</v>
      </c>
      <c r="C191" s="165" t="s">
        <v>354</v>
      </c>
      <c r="D191" s="150" t="s">
        <v>57</v>
      </c>
      <c r="E191" s="150" t="s">
        <v>92</v>
      </c>
      <c r="F191" s="172" t="s">
        <v>246</v>
      </c>
      <c r="G191" s="173" t="s">
        <v>65</v>
      </c>
      <c r="H191" s="745" t="s">
        <v>84</v>
      </c>
      <c r="I191" s="746" t="s">
        <v>126</v>
      </c>
      <c r="J191" s="150"/>
      <c r="K191" s="698">
        <f t="shared" si="29"/>
        <v>2863.3</v>
      </c>
      <c r="L191" s="166">
        <f t="shared" si="29"/>
        <v>0</v>
      </c>
      <c r="M191" s="166">
        <f t="shared" si="29"/>
        <v>2863.3</v>
      </c>
      <c r="N191" s="166">
        <f t="shared" si="29"/>
        <v>2863.3</v>
      </c>
    </row>
    <row r="192" spans="1:14" s="397" customFormat="1" ht="56.25">
      <c r="A192" s="151"/>
      <c r="B192" s="164" t="s">
        <v>75</v>
      </c>
      <c r="C192" s="165" t="s">
        <v>354</v>
      </c>
      <c r="D192" s="150" t="s">
        <v>57</v>
      </c>
      <c r="E192" s="150" t="s">
        <v>92</v>
      </c>
      <c r="F192" s="172" t="s">
        <v>246</v>
      </c>
      <c r="G192" s="173" t="s">
        <v>65</v>
      </c>
      <c r="H192" s="745" t="s">
        <v>84</v>
      </c>
      <c r="I192" s="746" t="s">
        <v>126</v>
      </c>
      <c r="J192" s="150" t="s">
        <v>76</v>
      </c>
      <c r="K192" s="698">
        <v>2863.3</v>
      </c>
      <c r="L192" s="166">
        <f>M192-K192</f>
        <v>0</v>
      </c>
      <c r="M192" s="166">
        <v>2863.3</v>
      </c>
      <c r="N192" s="166">
        <v>2863.3</v>
      </c>
    </row>
    <row r="193" spans="1:14" s="397" customFormat="1" ht="37.5">
      <c r="A193" s="151"/>
      <c r="B193" s="164" t="s">
        <v>804</v>
      </c>
      <c r="C193" s="165" t="s">
        <v>354</v>
      </c>
      <c r="D193" s="150" t="s">
        <v>57</v>
      </c>
      <c r="E193" s="150" t="s">
        <v>92</v>
      </c>
      <c r="F193" s="172" t="s">
        <v>246</v>
      </c>
      <c r="G193" s="173" t="s">
        <v>65</v>
      </c>
      <c r="H193" s="745" t="s">
        <v>86</v>
      </c>
      <c r="I193" s="746" t="s">
        <v>64</v>
      </c>
      <c r="J193" s="150"/>
      <c r="K193" s="698">
        <f t="shared" ref="K193:N194" si="30">K194</f>
        <v>18</v>
      </c>
      <c r="L193" s="166">
        <f t="shared" si="30"/>
        <v>0</v>
      </c>
      <c r="M193" s="166">
        <f t="shared" si="30"/>
        <v>18</v>
      </c>
      <c r="N193" s="166">
        <f t="shared" si="30"/>
        <v>18</v>
      </c>
    </row>
    <row r="194" spans="1:14" s="397" customFormat="1" ht="18.75">
      <c r="A194" s="151"/>
      <c r="B194" s="164" t="s">
        <v>802</v>
      </c>
      <c r="C194" s="165" t="s">
        <v>354</v>
      </c>
      <c r="D194" s="150" t="s">
        <v>57</v>
      </c>
      <c r="E194" s="150" t="s">
        <v>92</v>
      </c>
      <c r="F194" s="172" t="s">
        <v>246</v>
      </c>
      <c r="G194" s="173" t="s">
        <v>65</v>
      </c>
      <c r="H194" s="745" t="s">
        <v>86</v>
      </c>
      <c r="I194" s="746" t="s">
        <v>803</v>
      </c>
      <c r="J194" s="150"/>
      <c r="K194" s="698">
        <f t="shared" si="30"/>
        <v>18</v>
      </c>
      <c r="L194" s="166">
        <f t="shared" si="30"/>
        <v>0</v>
      </c>
      <c r="M194" s="166">
        <f t="shared" si="30"/>
        <v>18</v>
      </c>
      <c r="N194" s="166">
        <f t="shared" si="30"/>
        <v>18</v>
      </c>
    </row>
    <row r="195" spans="1:14" s="397" customFormat="1" ht="56.25">
      <c r="A195" s="151"/>
      <c r="B195" s="164" t="s">
        <v>75</v>
      </c>
      <c r="C195" s="165" t="s">
        <v>354</v>
      </c>
      <c r="D195" s="150" t="s">
        <v>57</v>
      </c>
      <c r="E195" s="150" t="s">
        <v>92</v>
      </c>
      <c r="F195" s="172" t="s">
        <v>246</v>
      </c>
      <c r="G195" s="173" t="s">
        <v>65</v>
      </c>
      <c r="H195" s="745" t="s">
        <v>86</v>
      </c>
      <c r="I195" s="746" t="s">
        <v>803</v>
      </c>
      <c r="J195" s="150" t="s">
        <v>76</v>
      </c>
      <c r="K195" s="698">
        <v>18</v>
      </c>
      <c r="L195" s="166">
        <f>M195-K195</f>
        <v>0</v>
      </c>
      <c r="M195" s="166">
        <v>18</v>
      </c>
      <c r="N195" s="166">
        <v>18</v>
      </c>
    </row>
    <row r="196" spans="1:14" s="397" customFormat="1" ht="56.25">
      <c r="A196" s="151"/>
      <c r="B196" s="164" t="s">
        <v>222</v>
      </c>
      <c r="C196" s="165" t="s">
        <v>354</v>
      </c>
      <c r="D196" s="150" t="s">
        <v>109</v>
      </c>
      <c r="E196" s="150"/>
      <c r="F196" s="172"/>
      <c r="G196" s="173"/>
      <c r="H196" s="745"/>
      <c r="I196" s="746"/>
      <c r="J196" s="150"/>
      <c r="K196" s="698">
        <f t="shared" ref="K196:N199" si="31">K197</f>
        <v>5500</v>
      </c>
      <c r="L196" s="166">
        <f t="shared" si="31"/>
        <v>0</v>
      </c>
      <c r="M196" s="166">
        <f t="shared" si="31"/>
        <v>5500</v>
      </c>
      <c r="N196" s="166">
        <f t="shared" si="31"/>
        <v>5500</v>
      </c>
    </row>
    <row r="197" spans="1:14" s="397" customFormat="1" ht="56.25">
      <c r="A197" s="151"/>
      <c r="B197" s="170" t="s">
        <v>223</v>
      </c>
      <c r="C197" s="165" t="s">
        <v>354</v>
      </c>
      <c r="D197" s="150" t="s">
        <v>109</v>
      </c>
      <c r="E197" s="150" t="s">
        <v>57</v>
      </c>
      <c r="F197" s="172"/>
      <c r="G197" s="173"/>
      <c r="H197" s="745"/>
      <c r="I197" s="746"/>
      <c r="J197" s="150"/>
      <c r="K197" s="698">
        <f t="shared" si="31"/>
        <v>5500</v>
      </c>
      <c r="L197" s="166">
        <f t="shared" si="31"/>
        <v>0</v>
      </c>
      <c r="M197" s="166">
        <f t="shared" si="31"/>
        <v>5500</v>
      </c>
      <c r="N197" s="166">
        <f t="shared" si="31"/>
        <v>5500</v>
      </c>
    </row>
    <row r="198" spans="1:14" s="397" customFormat="1" ht="60.75" customHeight="1">
      <c r="A198" s="151"/>
      <c r="B198" s="164" t="s">
        <v>245</v>
      </c>
      <c r="C198" s="165" t="s">
        <v>354</v>
      </c>
      <c r="D198" s="150" t="s">
        <v>109</v>
      </c>
      <c r="E198" s="150" t="s">
        <v>57</v>
      </c>
      <c r="F198" s="172" t="s">
        <v>246</v>
      </c>
      <c r="G198" s="173" t="s">
        <v>62</v>
      </c>
      <c r="H198" s="745" t="s">
        <v>63</v>
      </c>
      <c r="I198" s="746" t="s">
        <v>64</v>
      </c>
      <c r="J198" s="150"/>
      <c r="K198" s="698">
        <f t="shared" si="31"/>
        <v>5500</v>
      </c>
      <c r="L198" s="166">
        <f t="shared" si="31"/>
        <v>0</v>
      </c>
      <c r="M198" s="166">
        <f t="shared" si="31"/>
        <v>5500</v>
      </c>
      <c r="N198" s="166">
        <f t="shared" si="31"/>
        <v>5500</v>
      </c>
    </row>
    <row r="199" spans="1:14" s="397" customFormat="1" ht="37.5">
      <c r="A199" s="151"/>
      <c r="B199" s="164" t="s">
        <v>404</v>
      </c>
      <c r="C199" s="165" t="s">
        <v>354</v>
      </c>
      <c r="D199" s="150" t="s">
        <v>109</v>
      </c>
      <c r="E199" s="150" t="s">
        <v>57</v>
      </c>
      <c r="F199" s="172" t="s">
        <v>246</v>
      </c>
      <c r="G199" s="173" t="s">
        <v>65</v>
      </c>
      <c r="H199" s="745" t="s">
        <v>63</v>
      </c>
      <c r="I199" s="746" t="s">
        <v>64</v>
      </c>
      <c r="J199" s="150"/>
      <c r="K199" s="698">
        <f t="shared" si="31"/>
        <v>5500</v>
      </c>
      <c r="L199" s="166">
        <f t="shared" si="31"/>
        <v>0</v>
      </c>
      <c r="M199" s="166">
        <f t="shared" si="31"/>
        <v>5500</v>
      </c>
      <c r="N199" s="166">
        <f t="shared" si="31"/>
        <v>5500</v>
      </c>
    </row>
    <row r="200" spans="1:14" s="397" customFormat="1" ht="37.5">
      <c r="A200" s="151"/>
      <c r="B200" s="164" t="s">
        <v>356</v>
      </c>
      <c r="C200" s="165" t="s">
        <v>354</v>
      </c>
      <c r="D200" s="150" t="s">
        <v>109</v>
      </c>
      <c r="E200" s="150" t="s">
        <v>57</v>
      </c>
      <c r="F200" s="172" t="s">
        <v>246</v>
      </c>
      <c r="G200" s="173" t="s">
        <v>65</v>
      </c>
      <c r="H200" s="745" t="s">
        <v>59</v>
      </c>
      <c r="I200" s="746" t="s">
        <v>64</v>
      </c>
      <c r="J200" s="150"/>
      <c r="K200" s="698">
        <f>K201</f>
        <v>5500</v>
      </c>
      <c r="L200" s="166">
        <f>L201</f>
        <v>0</v>
      </c>
      <c r="M200" s="166">
        <f>M201</f>
        <v>5500</v>
      </c>
      <c r="N200" s="166">
        <f>N201</f>
        <v>5500</v>
      </c>
    </row>
    <row r="201" spans="1:14" s="397" customFormat="1" ht="37.5">
      <c r="A201" s="151"/>
      <c r="B201" s="164" t="s">
        <v>298</v>
      </c>
      <c r="C201" s="165" t="s">
        <v>354</v>
      </c>
      <c r="D201" s="150" t="s">
        <v>109</v>
      </c>
      <c r="E201" s="150" t="s">
        <v>57</v>
      </c>
      <c r="F201" s="172" t="s">
        <v>246</v>
      </c>
      <c r="G201" s="173" t="s">
        <v>65</v>
      </c>
      <c r="H201" s="745" t="s">
        <v>59</v>
      </c>
      <c r="I201" s="746" t="s">
        <v>578</v>
      </c>
      <c r="J201" s="150"/>
      <c r="K201" s="698">
        <f t="shared" ref="K201:N201" si="32">K202</f>
        <v>5500</v>
      </c>
      <c r="L201" s="166">
        <f t="shared" si="32"/>
        <v>0</v>
      </c>
      <c r="M201" s="166">
        <f t="shared" si="32"/>
        <v>5500</v>
      </c>
      <c r="N201" s="166">
        <f t="shared" si="32"/>
        <v>5500</v>
      </c>
    </row>
    <row r="202" spans="1:14" s="397" customFormat="1" ht="18.75">
      <c r="A202" s="151"/>
      <c r="B202" s="164" t="s">
        <v>144</v>
      </c>
      <c r="C202" s="165" t="s">
        <v>354</v>
      </c>
      <c r="D202" s="150" t="s">
        <v>109</v>
      </c>
      <c r="E202" s="150" t="s">
        <v>57</v>
      </c>
      <c r="F202" s="172" t="s">
        <v>246</v>
      </c>
      <c r="G202" s="173" t="s">
        <v>65</v>
      </c>
      <c r="H202" s="745" t="s">
        <v>59</v>
      </c>
      <c r="I202" s="746" t="s">
        <v>578</v>
      </c>
      <c r="J202" s="150" t="s">
        <v>145</v>
      </c>
      <c r="K202" s="698">
        <v>5500</v>
      </c>
      <c r="L202" s="166">
        <f>M202-K202</f>
        <v>0</v>
      </c>
      <c r="M202" s="166">
        <v>5500</v>
      </c>
      <c r="N202" s="166">
        <v>5500</v>
      </c>
    </row>
    <row r="203" spans="1:14" s="397" customFormat="1" ht="18.75">
      <c r="A203" s="151"/>
      <c r="B203" s="164"/>
      <c r="C203" s="165"/>
      <c r="D203" s="150"/>
      <c r="E203" s="150"/>
      <c r="F203" s="172"/>
      <c r="G203" s="173"/>
      <c r="H203" s="745"/>
      <c r="I203" s="746"/>
      <c r="J203" s="150"/>
      <c r="K203" s="698"/>
      <c r="L203" s="166"/>
      <c r="M203" s="166"/>
      <c r="N203" s="166"/>
    </row>
    <row r="204" spans="1:14" s="398" customFormat="1" ht="56.25">
      <c r="A204" s="391">
        <v>3</v>
      </c>
      <c r="B204" s="158" t="s">
        <v>55</v>
      </c>
      <c r="C204" s="159" t="s">
        <v>150</v>
      </c>
      <c r="D204" s="160"/>
      <c r="E204" s="160"/>
      <c r="F204" s="161"/>
      <c r="G204" s="162"/>
      <c r="H204" s="162"/>
      <c r="I204" s="163"/>
      <c r="J204" s="160"/>
      <c r="K204" s="697">
        <f t="shared" ref="K204:N207" si="33">K205</f>
        <v>4306.6000000000004</v>
      </c>
      <c r="L204" s="189">
        <f t="shared" si="33"/>
        <v>0</v>
      </c>
      <c r="M204" s="189">
        <f t="shared" si="33"/>
        <v>4306.6000000000004</v>
      </c>
      <c r="N204" s="189">
        <f t="shared" si="33"/>
        <v>4306.7</v>
      </c>
    </row>
    <row r="205" spans="1:14" s="398" customFormat="1" ht="18.75">
      <c r="A205" s="151"/>
      <c r="B205" s="164" t="s">
        <v>56</v>
      </c>
      <c r="C205" s="165" t="s">
        <v>150</v>
      </c>
      <c r="D205" s="150" t="s">
        <v>57</v>
      </c>
      <c r="E205" s="150"/>
      <c r="F205" s="744"/>
      <c r="G205" s="745"/>
      <c r="H205" s="745"/>
      <c r="I205" s="746"/>
      <c r="J205" s="150"/>
      <c r="K205" s="698">
        <f t="shared" si="33"/>
        <v>4306.6000000000004</v>
      </c>
      <c r="L205" s="166">
        <f t="shared" si="33"/>
        <v>0</v>
      </c>
      <c r="M205" s="166">
        <f t="shared" si="33"/>
        <v>4306.6000000000004</v>
      </c>
      <c r="N205" s="166">
        <f t="shared" si="33"/>
        <v>4306.7</v>
      </c>
    </row>
    <row r="206" spans="1:14" s="398" customFormat="1" ht="59.25" customHeight="1">
      <c r="A206" s="151"/>
      <c r="B206" s="164" t="s">
        <v>151</v>
      </c>
      <c r="C206" s="165" t="s">
        <v>150</v>
      </c>
      <c r="D206" s="150" t="s">
        <v>57</v>
      </c>
      <c r="E206" s="150" t="s">
        <v>102</v>
      </c>
      <c r="F206" s="744"/>
      <c r="G206" s="745"/>
      <c r="H206" s="745"/>
      <c r="I206" s="746"/>
      <c r="J206" s="150"/>
      <c r="K206" s="698">
        <f t="shared" si="33"/>
        <v>4306.6000000000004</v>
      </c>
      <c r="L206" s="166">
        <f t="shared" si="33"/>
        <v>0</v>
      </c>
      <c r="M206" s="166">
        <f t="shared" si="33"/>
        <v>4306.6000000000004</v>
      </c>
      <c r="N206" s="166">
        <f t="shared" si="33"/>
        <v>4306.7</v>
      </c>
    </row>
    <row r="207" spans="1:14" s="398" customFormat="1" ht="42.75" customHeight="1">
      <c r="A207" s="151"/>
      <c r="B207" s="167" t="s">
        <v>152</v>
      </c>
      <c r="C207" s="165" t="s">
        <v>150</v>
      </c>
      <c r="D207" s="150" t="s">
        <v>57</v>
      </c>
      <c r="E207" s="150" t="s">
        <v>102</v>
      </c>
      <c r="F207" s="744" t="s">
        <v>153</v>
      </c>
      <c r="G207" s="745" t="s">
        <v>62</v>
      </c>
      <c r="H207" s="745" t="s">
        <v>63</v>
      </c>
      <c r="I207" s="746" t="s">
        <v>64</v>
      </c>
      <c r="J207" s="150"/>
      <c r="K207" s="698">
        <f t="shared" si="33"/>
        <v>4306.6000000000004</v>
      </c>
      <c r="L207" s="166">
        <f t="shared" si="33"/>
        <v>0</v>
      </c>
      <c r="M207" s="166">
        <f t="shared" si="33"/>
        <v>4306.6000000000004</v>
      </c>
      <c r="N207" s="166">
        <f t="shared" si="33"/>
        <v>4306.7</v>
      </c>
    </row>
    <row r="208" spans="1:14" s="398" customFormat="1" ht="34.5" customHeight="1">
      <c r="A208" s="151"/>
      <c r="B208" s="167" t="s">
        <v>154</v>
      </c>
      <c r="C208" s="165" t="s">
        <v>150</v>
      </c>
      <c r="D208" s="150" t="s">
        <v>57</v>
      </c>
      <c r="E208" s="150" t="s">
        <v>102</v>
      </c>
      <c r="F208" s="744" t="s">
        <v>153</v>
      </c>
      <c r="G208" s="745" t="s">
        <v>65</v>
      </c>
      <c r="H208" s="745" t="s">
        <v>63</v>
      </c>
      <c r="I208" s="746" t="s">
        <v>64</v>
      </c>
      <c r="J208" s="150"/>
      <c r="K208" s="698">
        <f>K209</f>
        <v>4306.6000000000004</v>
      </c>
      <c r="L208" s="166">
        <f>L209</f>
        <v>0</v>
      </c>
      <c r="M208" s="166">
        <f>M209</f>
        <v>4306.6000000000004</v>
      </c>
      <c r="N208" s="166">
        <f>N209</f>
        <v>4306.7</v>
      </c>
    </row>
    <row r="209" spans="1:14" s="398" customFormat="1" ht="37.5">
      <c r="A209" s="151"/>
      <c r="B209" s="164" t="s">
        <v>67</v>
      </c>
      <c r="C209" s="165" t="s">
        <v>150</v>
      </c>
      <c r="D209" s="150" t="s">
        <v>57</v>
      </c>
      <c r="E209" s="150" t="s">
        <v>102</v>
      </c>
      <c r="F209" s="744" t="s">
        <v>153</v>
      </c>
      <c r="G209" s="745" t="s">
        <v>65</v>
      </c>
      <c r="H209" s="745" t="s">
        <v>63</v>
      </c>
      <c r="I209" s="746" t="s">
        <v>68</v>
      </c>
      <c r="J209" s="150"/>
      <c r="K209" s="698">
        <f>K210+K211+K212</f>
        <v>4306.6000000000004</v>
      </c>
      <c r="L209" s="166">
        <f>L210+L211+L212</f>
        <v>0</v>
      </c>
      <c r="M209" s="166">
        <f>M210+M211+M212</f>
        <v>4306.6000000000004</v>
      </c>
      <c r="N209" s="166">
        <f>N210+N211+N212</f>
        <v>4306.7</v>
      </c>
    </row>
    <row r="210" spans="1:14" s="398" customFormat="1" ht="112.5">
      <c r="A210" s="151"/>
      <c r="B210" s="164" t="s">
        <v>69</v>
      </c>
      <c r="C210" s="165" t="s">
        <v>150</v>
      </c>
      <c r="D210" s="150" t="s">
        <v>57</v>
      </c>
      <c r="E210" s="150" t="s">
        <v>102</v>
      </c>
      <c r="F210" s="744" t="s">
        <v>153</v>
      </c>
      <c r="G210" s="745" t="s">
        <v>65</v>
      </c>
      <c r="H210" s="745" t="s">
        <v>63</v>
      </c>
      <c r="I210" s="746" t="s">
        <v>68</v>
      </c>
      <c r="J210" s="150" t="s">
        <v>70</v>
      </c>
      <c r="K210" s="698">
        <v>4101.3</v>
      </c>
      <c r="L210" s="166">
        <f>M210-K210</f>
        <v>0</v>
      </c>
      <c r="M210" s="166">
        <v>4101.3</v>
      </c>
      <c r="N210" s="166">
        <v>4101.3</v>
      </c>
    </row>
    <row r="211" spans="1:14" s="398" customFormat="1" ht="56.25">
      <c r="A211" s="151"/>
      <c r="B211" s="164" t="s">
        <v>75</v>
      </c>
      <c r="C211" s="165" t="s">
        <v>150</v>
      </c>
      <c r="D211" s="150" t="s">
        <v>57</v>
      </c>
      <c r="E211" s="150" t="s">
        <v>102</v>
      </c>
      <c r="F211" s="744" t="s">
        <v>153</v>
      </c>
      <c r="G211" s="745" t="s">
        <v>65</v>
      </c>
      <c r="H211" s="745" t="s">
        <v>63</v>
      </c>
      <c r="I211" s="746" t="s">
        <v>68</v>
      </c>
      <c r="J211" s="150" t="s">
        <v>76</v>
      </c>
      <c r="K211" s="698">
        <v>195.3</v>
      </c>
      <c r="L211" s="166">
        <f>M211-K211</f>
        <v>0</v>
      </c>
      <c r="M211" s="166">
        <v>195.3</v>
      </c>
      <c r="N211" s="166">
        <v>195.4</v>
      </c>
    </row>
    <row r="212" spans="1:14" s="398" customFormat="1" ht="18.75">
      <c r="A212" s="151"/>
      <c r="B212" s="164" t="s">
        <v>77</v>
      </c>
      <c r="C212" s="165" t="s">
        <v>150</v>
      </c>
      <c r="D212" s="150" t="s">
        <v>57</v>
      </c>
      <c r="E212" s="150" t="s">
        <v>102</v>
      </c>
      <c r="F212" s="744" t="s">
        <v>153</v>
      </c>
      <c r="G212" s="745" t="s">
        <v>65</v>
      </c>
      <c r="H212" s="745" t="s">
        <v>63</v>
      </c>
      <c r="I212" s="746" t="s">
        <v>68</v>
      </c>
      <c r="J212" s="150" t="s">
        <v>78</v>
      </c>
      <c r="K212" s="698">
        <v>10</v>
      </c>
      <c r="L212" s="166">
        <f>M212-K212</f>
        <v>0</v>
      </c>
      <c r="M212" s="166">
        <v>10</v>
      </c>
      <c r="N212" s="166">
        <v>10</v>
      </c>
    </row>
    <row r="213" spans="1:14" s="398" customFormat="1" ht="18.75">
      <c r="A213" s="151"/>
      <c r="B213" s="164"/>
      <c r="C213" s="165"/>
      <c r="D213" s="150"/>
      <c r="E213" s="150"/>
      <c r="F213" s="744"/>
      <c r="G213" s="745"/>
      <c r="H213" s="745"/>
      <c r="I213" s="746"/>
      <c r="J213" s="150"/>
      <c r="K213" s="698"/>
      <c r="L213" s="166"/>
      <c r="M213" s="166"/>
      <c r="N213" s="166"/>
    </row>
    <row r="214" spans="1:14" s="407" customFormat="1" ht="56.25">
      <c r="A214" s="399">
        <v>4</v>
      </c>
      <c r="B214" s="400" t="s">
        <v>17</v>
      </c>
      <c r="C214" s="401" t="s">
        <v>589</v>
      </c>
      <c r="D214" s="402"/>
      <c r="E214" s="402"/>
      <c r="F214" s="403"/>
      <c r="G214" s="404"/>
      <c r="H214" s="404"/>
      <c r="I214" s="405"/>
      <c r="J214" s="402"/>
      <c r="K214" s="700">
        <f>K215+K249+K256</f>
        <v>85460.1</v>
      </c>
      <c r="L214" s="406">
        <f>L215+L249+L256</f>
        <v>0</v>
      </c>
      <c r="M214" s="406">
        <f>M215+M249+M256</f>
        <v>85460.1</v>
      </c>
      <c r="N214" s="406">
        <f>N215+N249+N256</f>
        <v>65112.500000000007</v>
      </c>
    </row>
    <row r="215" spans="1:14" s="413" customFormat="1" ht="18.75">
      <c r="A215" s="408"/>
      <c r="B215" s="363" t="s">
        <v>56</v>
      </c>
      <c r="C215" s="409" t="s">
        <v>589</v>
      </c>
      <c r="D215" s="410" t="s">
        <v>57</v>
      </c>
      <c r="E215" s="311"/>
      <c r="F215" s="411"/>
      <c r="G215" s="309"/>
      <c r="H215" s="309"/>
      <c r="I215" s="310"/>
      <c r="J215" s="311"/>
      <c r="K215" s="699">
        <f>K216</f>
        <v>32902.5</v>
      </c>
      <c r="L215" s="412">
        <f>L216</f>
        <v>0</v>
      </c>
      <c r="M215" s="412">
        <f>M216</f>
        <v>32902.5</v>
      </c>
      <c r="N215" s="412">
        <f>N216</f>
        <v>24909.800000000003</v>
      </c>
    </row>
    <row r="216" spans="1:14" s="407" customFormat="1" ht="18.75">
      <c r="A216" s="408"/>
      <c r="B216" s="363" t="s">
        <v>91</v>
      </c>
      <c r="C216" s="409" t="s">
        <v>589</v>
      </c>
      <c r="D216" s="410" t="s">
        <v>57</v>
      </c>
      <c r="E216" s="410" t="s">
        <v>92</v>
      </c>
      <c r="F216" s="411"/>
      <c r="G216" s="309"/>
      <c r="H216" s="309"/>
      <c r="I216" s="310"/>
      <c r="J216" s="311"/>
      <c r="K216" s="699">
        <f>K217+K242</f>
        <v>32902.5</v>
      </c>
      <c r="L216" s="412">
        <f>L217+L242</f>
        <v>0</v>
      </c>
      <c r="M216" s="412">
        <f>M217+M242</f>
        <v>32902.5</v>
      </c>
      <c r="N216" s="412">
        <f>N217+N242</f>
        <v>24909.800000000003</v>
      </c>
    </row>
    <row r="217" spans="1:14" s="413" customFormat="1" ht="54" customHeight="1">
      <c r="A217" s="408"/>
      <c r="B217" s="363" t="s">
        <v>247</v>
      </c>
      <c r="C217" s="409" t="s">
        <v>589</v>
      </c>
      <c r="D217" s="410" t="s">
        <v>57</v>
      </c>
      <c r="E217" s="410" t="s">
        <v>92</v>
      </c>
      <c r="F217" s="339" t="s">
        <v>248</v>
      </c>
      <c r="G217" s="309" t="s">
        <v>62</v>
      </c>
      <c r="H217" s="309" t="s">
        <v>63</v>
      </c>
      <c r="I217" s="310" t="s">
        <v>64</v>
      </c>
      <c r="J217" s="311"/>
      <c r="K217" s="699">
        <f>K218+K224</f>
        <v>27719.5</v>
      </c>
      <c r="L217" s="412">
        <f>L218+L224</f>
        <v>0</v>
      </c>
      <c r="M217" s="412">
        <f>M218+M224</f>
        <v>27719.5</v>
      </c>
      <c r="N217" s="412">
        <f>N218+N224</f>
        <v>19723.400000000001</v>
      </c>
    </row>
    <row r="218" spans="1:14" s="413" customFormat="1" ht="41.25" customHeight="1">
      <c r="A218" s="408"/>
      <c r="B218" s="363" t="s">
        <v>249</v>
      </c>
      <c r="C218" s="409" t="s">
        <v>589</v>
      </c>
      <c r="D218" s="410" t="s">
        <v>57</v>
      </c>
      <c r="E218" s="410" t="s">
        <v>92</v>
      </c>
      <c r="F218" s="414" t="s">
        <v>248</v>
      </c>
      <c r="G218" s="415" t="s">
        <v>65</v>
      </c>
      <c r="H218" s="415" t="s">
        <v>63</v>
      </c>
      <c r="I218" s="416" t="s">
        <v>64</v>
      </c>
      <c r="J218" s="311"/>
      <c r="K218" s="699">
        <f t="shared" ref="K218:N222" si="34">K219</f>
        <v>8506.2000000000007</v>
      </c>
      <c r="L218" s="412">
        <f t="shared" si="34"/>
        <v>0</v>
      </c>
      <c r="M218" s="412">
        <f t="shared" si="34"/>
        <v>8506.2000000000007</v>
      </c>
      <c r="N218" s="412">
        <f t="shared" si="34"/>
        <v>508.4</v>
      </c>
    </row>
    <row r="219" spans="1:14" s="407" customFormat="1" ht="37.5">
      <c r="A219" s="408"/>
      <c r="B219" s="358" t="s">
        <v>403</v>
      </c>
      <c r="C219" s="409" t="s">
        <v>589</v>
      </c>
      <c r="D219" s="410" t="s">
        <v>57</v>
      </c>
      <c r="E219" s="410" t="s">
        <v>92</v>
      </c>
      <c r="F219" s="308" t="s">
        <v>248</v>
      </c>
      <c r="G219" s="309" t="s">
        <v>65</v>
      </c>
      <c r="H219" s="309" t="s">
        <v>59</v>
      </c>
      <c r="I219" s="310" t="s">
        <v>64</v>
      </c>
      <c r="J219" s="311"/>
      <c r="K219" s="699">
        <f t="shared" ref="K219" si="35">K222+K220</f>
        <v>8506.2000000000007</v>
      </c>
      <c r="L219" s="412">
        <f t="shared" ref="L219" si="36">L222+L220</f>
        <v>0</v>
      </c>
      <c r="M219" s="412">
        <f t="shared" ref="M219:N219" si="37">M222+M220</f>
        <v>8506.2000000000007</v>
      </c>
      <c r="N219" s="412">
        <f t="shared" si="37"/>
        <v>508.4</v>
      </c>
    </row>
    <row r="220" spans="1:14" s="407" customFormat="1" ht="37.5">
      <c r="A220" s="408"/>
      <c r="B220" s="358" t="s">
        <v>402</v>
      </c>
      <c r="C220" s="409" t="s">
        <v>589</v>
      </c>
      <c r="D220" s="410" t="s">
        <v>57</v>
      </c>
      <c r="E220" s="410" t="s">
        <v>92</v>
      </c>
      <c r="F220" s="308" t="s">
        <v>248</v>
      </c>
      <c r="G220" s="309" t="s">
        <v>65</v>
      </c>
      <c r="H220" s="309" t="s">
        <v>59</v>
      </c>
      <c r="I220" s="310" t="s">
        <v>401</v>
      </c>
      <c r="J220" s="311"/>
      <c r="K220" s="699">
        <f t="shared" si="34"/>
        <v>506.2</v>
      </c>
      <c r="L220" s="412">
        <f t="shared" si="34"/>
        <v>0</v>
      </c>
      <c r="M220" s="412">
        <f t="shared" si="34"/>
        <v>506.2</v>
      </c>
      <c r="N220" s="412">
        <f t="shared" si="34"/>
        <v>508.4</v>
      </c>
    </row>
    <row r="221" spans="1:14" s="407" customFormat="1" ht="56.25">
      <c r="A221" s="408"/>
      <c r="B221" s="358" t="s">
        <v>75</v>
      </c>
      <c r="C221" s="409" t="s">
        <v>589</v>
      </c>
      <c r="D221" s="410" t="s">
        <v>57</v>
      </c>
      <c r="E221" s="410" t="s">
        <v>92</v>
      </c>
      <c r="F221" s="308" t="s">
        <v>248</v>
      </c>
      <c r="G221" s="309" t="s">
        <v>65</v>
      </c>
      <c r="H221" s="309" t="s">
        <v>59</v>
      </c>
      <c r="I221" s="310" t="s">
        <v>401</v>
      </c>
      <c r="J221" s="311" t="s">
        <v>76</v>
      </c>
      <c r="K221" s="699">
        <v>506.2</v>
      </c>
      <c r="L221" s="166">
        <f>M221-K221</f>
        <v>0</v>
      </c>
      <c r="M221" s="412">
        <v>506.2</v>
      </c>
      <c r="N221" s="412">
        <v>508.4</v>
      </c>
    </row>
    <row r="222" spans="1:14" s="413" customFormat="1" ht="93.75">
      <c r="A222" s="408"/>
      <c r="B222" s="806" t="s">
        <v>1016</v>
      </c>
      <c r="C222" s="409" t="s">
        <v>589</v>
      </c>
      <c r="D222" s="410" t="s">
        <v>57</v>
      </c>
      <c r="E222" s="410" t="s">
        <v>92</v>
      </c>
      <c r="F222" s="308" t="s">
        <v>248</v>
      </c>
      <c r="G222" s="309" t="s">
        <v>65</v>
      </c>
      <c r="H222" s="309" t="s">
        <v>59</v>
      </c>
      <c r="I222" s="310" t="s">
        <v>594</v>
      </c>
      <c r="J222" s="311"/>
      <c r="K222" s="699">
        <f t="shared" si="34"/>
        <v>8000</v>
      </c>
      <c r="L222" s="412">
        <f t="shared" si="34"/>
        <v>0</v>
      </c>
      <c r="M222" s="412">
        <f t="shared" si="34"/>
        <v>8000</v>
      </c>
      <c r="N222" s="412">
        <f t="shared" si="34"/>
        <v>0</v>
      </c>
    </row>
    <row r="223" spans="1:14" s="413" customFormat="1" ht="56.25">
      <c r="A223" s="408"/>
      <c r="B223" s="307" t="s">
        <v>225</v>
      </c>
      <c r="C223" s="409" t="s">
        <v>589</v>
      </c>
      <c r="D223" s="410" t="s">
        <v>57</v>
      </c>
      <c r="E223" s="410" t="s">
        <v>92</v>
      </c>
      <c r="F223" s="308" t="s">
        <v>248</v>
      </c>
      <c r="G223" s="309" t="s">
        <v>65</v>
      </c>
      <c r="H223" s="309" t="s">
        <v>59</v>
      </c>
      <c r="I223" s="310" t="s">
        <v>594</v>
      </c>
      <c r="J223" s="311" t="s">
        <v>226</v>
      </c>
      <c r="K223" s="699">
        <v>8000</v>
      </c>
      <c r="L223" s="166">
        <f>M223-K223</f>
        <v>0</v>
      </c>
      <c r="M223" s="412">
        <v>8000</v>
      </c>
      <c r="N223" s="412">
        <v>0</v>
      </c>
    </row>
    <row r="224" spans="1:14" s="407" customFormat="1" ht="37.5">
      <c r="A224" s="408"/>
      <c r="B224" s="363" t="s">
        <v>251</v>
      </c>
      <c r="C224" s="409" t="s">
        <v>589</v>
      </c>
      <c r="D224" s="410" t="s">
        <v>57</v>
      </c>
      <c r="E224" s="410" t="s">
        <v>92</v>
      </c>
      <c r="F224" s="339" t="s">
        <v>248</v>
      </c>
      <c r="G224" s="309" t="s">
        <v>110</v>
      </c>
      <c r="H224" s="309" t="s">
        <v>63</v>
      </c>
      <c r="I224" s="310" t="s">
        <v>64</v>
      </c>
      <c r="J224" s="311"/>
      <c r="K224" s="699">
        <f>K225+K236+K239</f>
        <v>19213.3</v>
      </c>
      <c r="L224" s="412">
        <f>L225+L236+L239</f>
        <v>0</v>
      </c>
      <c r="M224" s="412">
        <f>M225+M236+M239</f>
        <v>19213.3</v>
      </c>
      <c r="N224" s="412">
        <f>N225+N236+N239</f>
        <v>19215</v>
      </c>
    </row>
    <row r="225" spans="1:14" s="413" customFormat="1" ht="77.25" customHeight="1">
      <c r="A225" s="408"/>
      <c r="B225" s="363" t="s">
        <v>353</v>
      </c>
      <c r="C225" s="409" t="s">
        <v>589</v>
      </c>
      <c r="D225" s="410" t="s">
        <v>57</v>
      </c>
      <c r="E225" s="410" t="s">
        <v>92</v>
      </c>
      <c r="F225" s="339" t="s">
        <v>248</v>
      </c>
      <c r="G225" s="309" t="s">
        <v>110</v>
      </c>
      <c r="H225" s="309" t="s">
        <v>57</v>
      </c>
      <c r="I225" s="310" t="s">
        <v>64</v>
      </c>
      <c r="J225" s="311"/>
      <c r="K225" s="699">
        <f>K226+K230+K234</f>
        <v>18642.899999999998</v>
      </c>
      <c r="L225" s="412">
        <f>L226+L230+L234</f>
        <v>0</v>
      </c>
      <c r="M225" s="412">
        <f>M226+M230+M234</f>
        <v>18642.899999999998</v>
      </c>
      <c r="N225" s="412">
        <f>N226+N230+N234</f>
        <v>18644.599999999999</v>
      </c>
    </row>
    <row r="226" spans="1:14" s="407" customFormat="1" ht="37.5">
      <c r="A226" s="408"/>
      <c r="B226" s="363" t="s">
        <v>67</v>
      </c>
      <c r="C226" s="409" t="s">
        <v>589</v>
      </c>
      <c r="D226" s="410" t="s">
        <v>57</v>
      </c>
      <c r="E226" s="410" t="s">
        <v>92</v>
      </c>
      <c r="F226" s="417" t="s">
        <v>248</v>
      </c>
      <c r="G226" s="415" t="s">
        <v>110</v>
      </c>
      <c r="H226" s="415" t="s">
        <v>57</v>
      </c>
      <c r="I226" s="416" t="s">
        <v>68</v>
      </c>
      <c r="J226" s="311"/>
      <c r="K226" s="699">
        <f>K227+K228+K229</f>
        <v>13256.9</v>
      </c>
      <c r="L226" s="412">
        <f>L227+L228+L229</f>
        <v>0</v>
      </c>
      <c r="M226" s="412">
        <f>M227+M228+M229</f>
        <v>13256.9</v>
      </c>
      <c r="N226" s="412">
        <f>N227+N228+N229</f>
        <v>13257.3</v>
      </c>
    </row>
    <row r="227" spans="1:14" s="413" customFormat="1" ht="112.5">
      <c r="A227" s="408"/>
      <c r="B227" s="164" t="s">
        <v>69</v>
      </c>
      <c r="C227" s="409" t="s">
        <v>589</v>
      </c>
      <c r="D227" s="410" t="s">
        <v>57</v>
      </c>
      <c r="E227" s="410" t="s">
        <v>92</v>
      </c>
      <c r="F227" s="339" t="s">
        <v>248</v>
      </c>
      <c r="G227" s="309" t="s">
        <v>110</v>
      </c>
      <c r="H227" s="309" t="s">
        <v>57</v>
      </c>
      <c r="I227" s="310" t="s">
        <v>68</v>
      </c>
      <c r="J227" s="311" t="s">
        <v>70</v>
      </c>
      <c r="K227" s="699">
        <v>12941.4</v>
      </c>
      <c r="L227" s="166">
        <f>M227-K227</f>
        <v>0</v>
      </c>
      <c r="M227" s="412">
        <v>12941.4</v>
      </c>
      <c r="N227" s="412">
        <v>12941.4</v>
      </c>
    </row>
    <row r="228" spans="1:14" s="413" customFormat="1" ht="56.25">
      <c r="A228" s="408"/>
      <c r="B228" s="358" t="s">
        <v>75</v>
      </c>
      <c r="C228" s="409" t="s">
        <v>589</v>
      </c>
      <c r="D228" s="410" t="s">
        <v>57</v>
      </c>
      <c r="E228" s="410" t="s">
        <v>92</v>
      </c>
      <c r="F228" s="339" t="s">
        <v>248</v>
      </c>
      <c r="G228" s="309" t="s">
        <v>110</v>
      </c>
      <c r="H228" s="309" t="s">
        <v>57</v>
      </c>
      <c r="I228" s="310" t="s">
        <v>68</v>
      </c>
      <c r="J228" s="311" t="s">
        <v>76</v>
      </c>
      <c r="K228" s="699">
        <v>314.2</v>
      </c>
      <c r="L228" s="166">
        <f>M228-K228</f>
        <v>0</v>
      </c>
      <c r="M228" s="412">
        <v>314.2</v>
      </c>
      <c r="N228" s="412">
        <v>314.60000000000002</v>
      </c>
    </row>
    <row r="229" spans="1:14" s="413" customFormat="1" ht="18.75">
      <c r="A229" s="408"/>
      <c r="B229" s="363" t="s">
        <v>77</v>
      </c>
      <c r="C229" s="409" t="s">
        <v>589</v>
      </c>
      <c r="D229" s="410" t="s">
        <v>57</v>
      </c>
      <c r="E229" s="410" t="s">
        <v>92</v>
      </c>
      <c r="F229" s="339" t="s">
        <v>248</v>
      </c>
      <c r="G229" s="309" t="s">
        <v>110</v>
      </c>
      <c r="H229" s="309" t="s">
        <v>57</v>
      </c>
      <c r="I229" s="310" t="s">
        <v>68</v>
      </c>
      <c r="J229" s="311" t="s">
        <v>78</v>
      </c>
      <c r="K229" s="699">
        <v>1.3</v>
      </c>
      <c r="L229" s="166">
        <f>M229-K229</f>
        <v>0</v>
      </c>
      <c r="M229" s="412">
        <v>1.3</v>
      </c>
      <c r="N229" s="412">
        <v>1.3</v>
      </c>
    </row>
    <row r="230" spans="1:14" s="413" customFormat="1" ht="40.5" customHeight="1">
      <c r="A230" s="408"/>
      <c r="B230" s="304" t="s">
        <v>800</v>
      </c>
      <c r="C230" s="409" t="s">
        <v>589</v>
      </c>
      <c r="D230" s="410" t="s">
        <v>57</v>
      </c>
      <c r="E230" s="410" t="s">
        <v>92</v>
      </c>
      <c r="F230" s="339" t="s">
        <v>248</v>
      </c>
      <c r="G230" s="309" t="s">
        <v>110</v>
      </c>
      <c r="H230" s="309" t="s">
        <v>57</v>
      </c>
      <c r="I230" s="310" t="s">
        <v>112</v>
      </c>
      <c r="J230" s="311"/>
      <c r="K230" s="699">
        <f>K231+K232+K233</f>
        <v>5351.4999999999991</v>
      </c>
      <c r="L230" s="412">
        <f>L231+L232+L233</f>
        <v>0</v>
      </c>
      <c r="M230" s="412">
        <f>M231+M232+M233</f>
        <v>5351.4999999999991</v>
      </c>
      <c r="N230" s="412">
        <f>N231+N232+N233</f>
        <v>5352.8</v>
      </c>
    </row>
    <row r="231" spans="1:14" s="413" customFormat="1" ht="112.5">
      <c r="A231" s="408"/>
      <c r="B231" s="164" t="s">
        <v>69</v>
      </c>
      <c r="C231" s="409" t="s">
        <v>589</v>
      </c>
      <c r="D231" s="410" t="s">
        <v>57</v>
      </c>
      <c r="E231" s="410" t="s">
        <v>92</v>
      </c>
      <c r="F231" s="339" t="s">
        <v>248</v>
      </c>
      <c r="G231" s="309" t="s">
        <v>110</v>
      </c>
      <c r="H231" s="309" t="s">
        <v>57</v>
      </c>
      <c r="I231" s="310" t="s">
        <v>112</v>
      </c>
      <c r="J231" s="311" t="s">
        <v>70</v>
      </c>
      <c r="K231" s="699">
        <v>4981.3999999999996</v>
      </c>
      <c r="L231" s="166">
        <f>M231-K231</f>
        <v>0</v>
      </c>
      <c r="M231" s="412">
        <v>4981.3999999999996</v>
      </c>
      <c r="N231" s="412">
        <v>4981.3999999999996</v>
      </c>
    </row>
    <row r="232" spans="1:14" s="413" customFormat="1" ht="56.25">
      <c r="A232" s="408"/>
      <c r="B232" s="358" t="s">
        <v>75</v>
      </c>
      <c r="C232" s="409" t="s">
        <v>589</v>
      </c>
      <c r="D232" s="410" t="s">
        <v>57</v>
      </c>
      <c r="E232" s="410" t="s">
        <v>92</v>
      </c>
      <c r="F232" s="417" t="s">
        <v>248</v>
      </c>
      <c r="G232" s="415" t="s">
        <v>110</v>
      </c>
      <c r="H232" s="415" t="s">
        <v>57</v>
      </c>
      <c r="I232" s="416" t="s">
        <v>112</v>
      </c>
      <c r="J232" s="311" t="s">
        <v>76</v>
      </c>
      <c r="K232" s="699">
        <v>347.2</v>
      </c>
      <c r="L232" s="166">
        <f>M232-K232</f>
        <v>0</v>
      </c>
      <c r="M232" s="412">
        <v>347.2</v>
      </c>
      <c r="N232" s="412">
        <v>350.3</v>
      </c>
    </row>
    <row r="233" spans="1:14" s="413" customFormat="1" ht="18.75">
      <c r="A233" s="408"/>
      <c r="B233" s="363" t="s">
        <v>77</v>
      </c>
      <c r="C233" s="409" t="s">
        <v>589</v>
      </c>
      <c r="D233" s="410" t="s">
        <v>57</v>
      </c>
      <c r="E233" s="410" t="s">
        <v>92</v>
      </c>
      <c r="F233" s="339" t="s">
        <v>248</v>
      </c>
      <c r="G233" s="309" t="s">
        <v>110</v>
      </c>
      <c r="H233" s="309" t="s">
        <v>57</v>
      </c>
      <c r="I233" s="310" t="s">
        <v>112</v>
      </c>
      <c r="J233" s="311" t="s">
        <v>78</v>
      </c>
      <c r="K233" s="699">
        <v>22.9</v>
      </c>
      <c r="L233" s="166">
        <f>M233-K233</f>
        <v>0</v>
      </c>
      <c r="M233" s="412">
        <v>22.9</v>
      </c>
      <c r="N233" s="412">
        <v>21.1</v>
      </c>
    </row>
    <row r="234" spans="1:14" s="413" customFormat="1" ht="56.25">
      <c r="A234" s="408"/>
      <c r="B234" s="358" t="s">
        <v>431</v>
      </c>
      <c r="C234" s="409" t="s">
        <v>589</v>
      </c>
      <c r="D234" s="410" t="s">
        <v>57</v>
      </c>
      <c r="E234" s="410" t="s">
        <v>92</v>
      </c>
      <c r="F234" s="339" t="s">
        <v>248</v>
      </c>
      <c r="G234" s="309" t="s">
        <v>110</v>
      </c>
      <c r="H234" s="309" t="s">
        <v>57</v>
      </c>
      <c r="I234" s="310" t="s">
        <v>430</v>
      </c>
      <c r="J234" s="311"/>
      <c r="K234" s="699">
        <f>K235</f>
        <v>34.5</v>
      </c>
      <c r="L234" s="412">
        <f>L235</f>
        <v>0</v>
      </c>
      <c r="M234" s="412">
        <f>M235</f>
        <v>34.5</v>
      </c>
      <c r="N234" s="412">
        <f>N235</f>
        <v>34.5</v>
      </c>
    </row>
    <row r="235" spans="1:14" s="413" customFormat="1" ht="56.25">
      <c r="A235" s="408"/>
      <c r="B235" s="358" t="s">
        <v>75</v>
      </c>
      <c r="C235" s="409" t="s">
        <v>589</v>
      </c>
      <c r="D235" s="410" t="s">
        <v>57</v>
      </c>
      <c r="E235" s="410" t="s">
        <v>92</v>
      </c>
      <c r="F235" s="339" t="s">
        <v>248</v>
      </c>
      <c r="G235" s="309" t="s">
        <v>110</v>
      </c>
      <c r="H235" s="309" t="s">
        <v>57</v>
      </c>
      <c r="I235" s="456" t="s">
        <v>430</v>
      </c>
      <c r="J235" s="311" t="s">
        <v>76</v>
      </c>
      <c r="K235" s="699">
        <v>34.5</v>
      </c>
      <c r="L235" s="166">
        <f>M235-K235</f>
        <v>0</v>
      </c>
      <c r="M235" s="412">
        <v>34.5</v>
      </c>
      <c r="N235" s="412">
        <v>34.5</v>
      </c>
    </row>
    <row r="236" spans="1:14" s="413" customFormat="1" ht="37.5">
      <c r="A236" s="408"/>
      <c r="B236" s="458" t="s">
        <v>428</v>
      </c>
      <c r="C236" s="459" t="s">
        <v>589</v>
      </c>
      <c r="D236" s="460" t="s">
        <v>57</v>
      </c>
      <c r="E236" s="460" t="s">
        <v>92</v>
      </c>
      <c r="F236" s="339" t="s">
        <v>248</v>
      </c>
      <c r="G236" s="340" t="s">
        <v>110</v>
      </c>
      <c r="H236" s="340" t="s">
        <v>59</v>
      </c>
      <c r="I236" s="341" t="s">
        <v>64</v>
      </c>
      <c r="J236" s="342"/>
      <c r="K236" s="699">
        <f t="shared" ref="K236:N237" si="38">K237</f>
        <v>549.9</v>
      </c>
      <c r="L236" s="412">
        <f t="shared" si="38"/>
        <v>0</v>
      </c>
      <c r="M236" s="412">
        <f t="shared" si="38"/>
        <v>549.9</v>
      </c>
      <c r="N236" s="412">
        <f t="shared" si="38"/>
        <v>549.9</v>
      </c>
    </row>
    <row r="237" spans="1:14" s="413" customFormat="1" ht="58.5" customHeight="1">
      <c r="A237" s="408"/>
      <c r="B237" s="465" t="s">
        <v>429</v>
      </c>
      <c r="C237" s="409" t="s">
        <v>589</v>
      </c>
      <c r="D237" s="410" t="s">
        <v>57</v>
      </c>
      <c r="E237" s="410" t="s">
        <v>92</v>
      </c>
      <c r="F237" s="419" t="s">
        <v>248</v>
      </c>
      <c r="G237" s="340" t="s">
        <v>110</v>
      </c>
      <c r="H237" s="340" t="s">
        <v>59</v>
      </c>
      <c r="I237" s="341" t="s">
        <v>126</v>
      </c>
      <c r="J237" s="344"/>
      <c r="K237" s="699">
        <f t="shared" si="38"/>
        <v>549.9</v>
      </c>
      <c r="L237" s="412">
        <f t="shared" si="38"/>
        <v>0</v>
      </c>
      <c r="M237" s="412">
        <f t="shared" si="38"/>
        <v>549.9</v>
      </c>
      <c r="N237" s="412">
        <f t="shared" si="38"/>
        <v>549.9</v>
      </c>
    </row>
    <row r="238" spans="1:14" s="413" customFormat="1" ht="56.25">
      <c r="A238" s="408"/>
      <c r="B238" s="467" t="s">
        <v>75</v>
      </c>
      <c r="C238" s="409" t="s">
        <v>589</v>
      </c>
      <c r="D238" s="410" t="s">
        <v>57</v>
      </c>
      <c r="E238" s="410" t="s">
        <v>92</v>
      </c>
      <c r="F238" s="419" t="s">
        <v>248</v>
      </c>
      <c r="G238" s="348" t="s">
        <v>110</v>
      </c>
      <c r="H238" s="348" t="s">
        <v>59</v>
      </c>
      <c r="I238" s="468" t="s">
        <v>126</v>
      </c>
      <c r="J238" s="469" t="s">
        <v>76</v>
      </c>
      <c r="K238" s="699">
        <v>549.9</v>
      </c>
      <c r="L238" s="166">
        <f>M238-K238</f>
        <v>0</v>
      </c>
      <c r="M238" s="412">
        <v>549.9</v>
      </c>
      <c r="N238" s="412">
        <v>549.9</v>
      </c>
    </row>
    <row r="239" spans="1:14" s="413" customFormat="1" ht="37.5">
      <c r="A239" s="408"/>
      <c r="B239" s="470" t="s">
        <v>464</v>
      </c>
      <c r="C239" s="409" t="s">
        <v>589</v>
      </c>
      <c r="D239" s="410" t="s">
        <v>57</v>
      </c>
      <c r="E239" s="410" t="s">
        <v>92</v>
      </c>
      <c r="F239" s="419" t="s">
        <v>248</v>
      </c>
      <c r="G239" s="340" t="s">
        <v>110</v>
      </c>
      <c r="H239" s="340" t="s">
        <v>84</v>
      </c>
      <c r="I239" s="341" t="s">
        <v>64</v>
      </c>
      <c r="J239" s="344"/>
      <c r="K239" s="699">
        <f t="shared" ref="K239:N240" si="39">K240</f>
        <v>20.5</v>
      </c>
      <c r="L239" s="412">
        <f t="shared" si="39"/>
        <v>0</v>
      </c>
      <c r="M239" s="412">
        <f t="shared" si="39"/>
        <v>20.5</v>
      </c>
      <c r="N239" s="412">
        <f t="shared" si="39"/>
        <v>20.5</v>
      </c>
    </row>
    <row r="240" spans="1:14" s="413" customFormat="1" ht="37.5">
      <c r="A240" s="408"/>
      <c r="B240" s="470" t="s">
        <v>402</v>
      </c>
      <c r="C240" s="409" t="s">
        <v>589</v>
      </c>
      <c r="D240" s="410" t="s">
        <v>57</v>
      </c>
      <c r="E240" s="410" t="s">
        <v>92</v>
      </c>
      <c r="F240" s="347" t="s">
        <v>248</v>
      </c>
      <c r="G240" s="348" t="s">
        <v>110</v>
      </c>
      <c r="H240" s="348" t="s">
        <v>84</v>
      </c>
      <c r="I240" s="468" t="s">
        <v>401</v>
      </c>
      <c r="J240" s="344"/>
      <c r="K240" s="699">
        <f t="shared" si="39"/>
        <v>20.5</v>
      </c>
      <c r="L240" s="412">
        <f t="shared" si="39"/>
        <v>0</v>
      </c>
      <c r="M240" s="412">
        <f t="shared" si="39"/>
        <v>20.5</v>
      </c>
      <c r="N240" s="412">
        <f t="shared" si="39"/>
        <v>20.5</v>
      </c>
    </row>
    <row r="241" spans="1:14" s="413" customFormat="1" ht="18.75">
      <c r="A241" s="408"/>
      <c r="B241" s="363" t="s">
        <v>77</v>
      </c>
      <c r="C241" s="472" t="s">
        <v>589</v>
      </c>
      <c r="D241" s="410" t="s">
        <v>57</v>
      </c>
      <c r="E241" s="410" t="s">
        <v>92</v>
      </c>
      <c r="F241" s="339" t="s">
        <v>248</v>
      </c>
      <c r="G241" s="340" t="s">
        <v>110</v>
      </c>
      <c r="H241" s="340" t="s">
        <v>84</v>
      </c>
      <c r="I241" s="341" t="s">
        <v>401</v>
      </c>
      <c r="J241" s="344" t="s">
        <v>78</v>
      </c>
      <c r="K241" s="699">
        <v>20.5</v>
      </c>
      <c r="L241" s="166">
        <f>M241-K241</f>
        <v>0</v>
      </c>
      <c r="M241" s="412">
        <v>20.5</v>
      </c>
      <c r="N241" s="412">
        <v>20.5</v>
      </c>
    </row>
    <row r="242" spans="1:14" s="413" customFormat="1" ht="56.25" customHeight="1">
      <c r="A242" s="408"/>
      <c r="B242" s="418" t="s">
        <v>60</v>
      </c>
      <c r="C242" s="409" t="s">
        <v>589</v>
      </c>
      <c r="D242" s="410" t="s">
        <v>57</v>
      </c>
      <c r="E242" s="410" t="s">
        <v>92</v>
      </c>
      <c r="F242" s="419" t="s">
        <v>61</v>
      </c>
      <c r="G242" s="309" t="s">
        <v>62</v>
      </c>
      <c r="H242" s="309" t="s">
        <v>63</v>
      </c>
      <c r="I242" s="310" t="s">
        <v>64</v>
      </c>
      <c r="J242" s="311"/>
      <c r="K242" s="699">
        <f t="shared" ref="K242:N244" si="40">K243</f>
        <v>5183.0000000000009</v>
      </c>
      <c r="L242" s="412">
        <f t="shared" si="40"/>
        <v>0</v>
      </c>
      <c r="M242" s="412">
        <f t="shared" si="40"/>
        <v>5183.0000000000009</v>
      </c>
      <c r="N242" s="412">
        <f t="shared" si="40"/>
        <v>5186.4000000000005</v>
      </c>
    </row>
    <row r="243" spans="1:14" s="413" customFormat="1" ht="37.5">
      <c r="A243" s="408"/>
      <c r="B243" s="358" t="s">
        <v>404</v>
      </c>
      <c r="C243" s="409" t="s">
        <v>589</v>
      </c>
      <c r="D243" s="410" t="s">
        <v>57</v>
      </c>
      <c r="E243" s="410" t="s">
        <v>92</v>
      </c>
      <c r="F243" s="339" t="s">
        <v>61</v>
      </c>
      <c r="G243" s="309" t="s">
        <v>65</v>
      </c>
      <c r="H243" s="309" t="s">
        <v>63</v>
      </c>
      <c r="I243" s="310" t="s">
        <v>64</v>
      </c>
      <c r="J243" s="311"/>
      <c r="K243" s="699">
        <f t="shared" si="40"/>
        <v>5183.0000000000009</v>
      </c>
      <c r="L243" s="412">
        <f t="shared" si="40"/>
        <v>0</v>
      </c>
      <c r="M243" s="412">
        <f t="shared" si="40"/>
        <v>5183.0000000000009</v>
      </c>
      <c r="N243" s="412">
        <f t="shared" si="40"/>
        <v>5186.4000000000005</v>
      </c>
    </row>
    <row r="244" spans="1:14" s="413" customFormat="1" ht="75">
      <c r="A244" s="408"/>
      <c r="B244" s="363" t="s">
        <v>351</v>
      </c>
      <c r="C244" s="409" t="s">
        <v>589</v>
      </c>
      <c r="D244" s="410" t="s">
        <v>57</v>
      </c>
      <c r="E244" s="410" t="s">
        <v>92</v>
      </c>
      <c r="F244" s="339" t="s">
        <v>61</v>
      </c>
      <c r="G244" s="309" t="s">
        <v>65</v>
      </c>
      <c r="H244" s="309" t="s">
        <v>102</v>
      </c>
      <c r="I244" s="310" t="s">
        <v>64</v>
      </c>
      <c r="J244" s="311"/>
      <c r="K244" s="699">
        <f t="shared" si="40"/>
        <v>5183.0000000000009</v>
      </c>
      <c r="L244" s="412">
        <f t="shared" si="40"/>
        <v>0</v>
      </c>
      <c r="M244" s="412">
        <f t="shared" si="40"/>
        <v>5183.0000000000009</v>
      </c>
      <c r="N244" s="412">
        <f t="shared" si="40"/>
        <v>5186.4000000000005</v>
      </c>
    </row>
    <row r="245" spans="1:14" s="413" customFormat="1" ht="42.75" customHeight="1">
      <c r="A245" s="408"/>
      <c r="B245" s="304" t="s">
        <v>800</v>
      </c>
      <c r="C245" s="409" t="s">
        <v>589</v>
      </c>
      <c r="D245" s="410" t="s">
        <v>57</v>
      </c>
      <c r="E245" s="410" t="s">
        <v>92</v>
      </c>
      <c r="F245" s="339" t="s">
        <v>61</v>
      </c>
      <c r="G245" s="309" t="s">
        <v>65</v>
      </c>
      <c r="H245" s="309" t="s">
        <v>102</v>
      </c>
      <c r="I245" s="310" t="s">
        <v>112</v>
      </c>
      <c r="J245" s="311"/>
      <c r="K245" s="699">
        <f>K246+K247+K248</f>
        <v>5183.0000000000009</v>
      </c>
      <c r="L245" s="412">
        <f>L246+L247+L248</f>
        <v>0</v>
      </c>
      <c r="M245" s="412">
        <f>M246+M247+M248</f>
        <v>5183.0000000000009</v>
      </c>
      <c r="N245" s="412">
        <f>N246+N247+N248</f>
        <v>5186.4000000000005</v>
      </c>
    </row>
    <row r="246" spans="1:14" s="413" customFormat="1" ht="112.5">
      <c r="A246" s="408"/>
      <c r="B246" s="164" t="s">
        <v>69</v>
      </c>
      <c r="C246" s="409" t="s">
        <v>589</v>
      </c>
      <c r="D246" s="410" t="s">
        <v>57</v>
      </c>
      <c r="E246" s="410" t="s">
        <v>92</v>
      </c>
      <c r="F246" s="339" t="s">
        <v>61</v>
      </c>
      <c r="G246" s="309" t="s">
        <v>65</v>
      </c>
      <c r="H246" s="309" t="s">
        <v>102</v>
      </c>
      <c r="I246" s="310" t="s">
        <v>112</v>
      </c>
      <c r="J246" s="311" t="s">
        <v>70</v>
      </c>
      <c r="K246" s="699">
        <v>4729.8</v>
      </c>
      <c r="L246" s="166">
        <f>M246-K246</f>
        <v>0</v>
      </c>
      <c r="M246" s="412">
        <v>4729.8</v>
      </c>
      <c r="N246" s="412">
        <v>4729.8</v>
      </c>
    </row>
    <row r="247" spans="1:14" s="413" customFormat="1" ht="56.25">
      <c r="A247" s="408"/>
      <c r="B247" s="358" t="s">
        <v>75</v>
      </c>
      <c r="C247" s="409" t="s">
        <v>589</v>
      </c>
      <c r="D247" s="410" t="s">
        <v>57</v>
      </c>
      <c r="E247" s="410" t="s">
        <v>92</v>
      </c>
      <c r="F247" s="339" t="s">
        <v>61</v>
      </c>
      <c r="G247" s="309" t="s">
        <v>65</v>
      </c>
      <c r="H247" s="309" t="s">
        <v>102</v>
      </c>
      <c r="I247" s="310" t="s">
        <v>112</v>
      </c>
      <c r="J247" s="311" t="s">
        <v>76</v>
      </c>
      <c r="K247" s="699">
        <v>453.1</v>
      </c>
      <c r="L247" s="166">
        <f>M247-K247</f>
        <v>0</v>
      </c>
      <c r="M247" s="412">
        <v>453.1</v>
      </c>
      <c r="N247" s="412">
        <v>456.5</v>
      </c>
    </row>
    <row r="248" spans="1:14" s="413" customFormat="1" ht="18.75">
      <c r="A248" s="408"/>
      <c r="B248" s="358" t="s">
        <v>77</v>
      </c>
      <c r="C248" s="409" t="s">
        <v>589</v>
      </c>
      <c r="D248" s="410" t="s">
        <v>57</v>
      </c>
      <c r="E248" s="410" t="s">
        <v>92</v>
      </c>
      <c r="F248" s="339" t="s">
        <v>61</v>
      </c>
      <c r="G248" s="309" t="s">
        <v>65</v>
      </c>
      <c r="H248" s="309" t="s">
        <v>102</v>
      </c>
      <c r="I248" s="310" t="s">
        <v>112</v>
      </c>
      <c r="J248" s="311" t="s">
        <v>78</v>
      </c>
      <c r="K248" s="699">
        <v>0.1</v>
      </c>
      <c r="L248" s="166">
        <f>M248-K248</f>
        <v>0</v>
      </c>
      <c r="M248" s="412">
        <v>0.1</v>
      </c>
      <c r="N248" s="412">
        <v>0.1</v>
      </c>
    </row>
    <row r="249" spans="1:14" s="413" customFormat="1" ht="18.75">
      <c r="A249" s="408"/>
      <c r="B249" s="363" t="s">
        <v>199</v>
      </c>
      <c r="C249" s="409" t="s">
        <v>589</v>
      </c>
      <c r="D249" s="410" t="s">
        <v>86</v>
      </c>
      <c r="E249" s="410"/>
      <c r="F249" s="308"/>
      <c r="G249" s="309"/>
      <c r="H249" s="309"/>
      <c r="I249" s="364"/>
      <c r="J249" s="311"/>
      <c r="K249" s="699">
        <f t="shared" ref="K249:N254" si="41">K250</f>
        <v>12354.9</v>
      </c>
      <c r="L249" s="412">
        <f t="shared" si="41"/>
        <v>0</v>
      </c>
      <c r="M249" s="412">
        <f t="shared" si="41"/>
        <v>12354.9</v>
      </c>
      <c r="N249" s="412">
        <f t="shared" si="41"/>
        <v>0</v>
      </c>
    </row>
    <row r="250" spans="1:14" s="413" customFormat="1" ht="18.75">
      <c r="A250" s="408"/>
      <c r="B250" s="363" t="s">
        <v>398</v>
      </c>
      <c r="C250" s="409" t="s">
        <v>589</v>
      </c>
      <c r="D250" s="410" t="s">
        <v>86</v>
      </c>
      <c r="E250" s="410" t="s">
        <v>59</v>
      </c>
      <c r="F250" s="308"/>
      <c r="G250" s="309"/>
      <c r="H250" s="309"/>
      <c r="I250" s="364"/>
      <c r="J250" s="311"/>
      <c r="K250" s="699">
        <f t="shared" si="41"/>
        <v>12354.9</v>
      </c>
      <c r="L250" s="412">
        <f t="shared" si="41"/>
        <v>0</v>
      </c>
      <c r="M250" s="412">
        <f t="shared" si="41"/>
        <v>12354.9</v>
      </c>
      <c r="N250" s="412">
        <f t="shared" si="41"/>
        <v>0</v>
      </c>
    </row>
    <row r="251" spans="1:14" s="413" customFormat="1" ht="77.25" customHeight="1">
      <c r="A251" s="408"/>
      <c r="B251" s="420" t="s">
        <v>397</v>
      </c>
      <c r="C251" s="409" t="s">
        <v>589</v>
      </c>
      <c r="D251" s="410" t="s">
        <v>86</v>
      </c>
      <c r="E251" s="410" t="s">
        <v>59</v>
      </c>
      <c r="F251" s="308" t="s">
        <v>125</v>
      </c>
      <c r="G251" s="309" t="s">
        <v>62</v>
      </c>
      <c r="H251" s="309" t="s">
        <v>63</v>
      </c>
      <c r="I251" s="364" t="s">
        <v>64</v>
      </c>
      <c r="J251" s="311"/>
      <c r="K251" s="699">
        <f t="shared" si="41"/>
        <v>12354.9</v>
      </c>
      <c r="L251" s="412">
        <f t="shared" si="41"/>
        <v>0</v>
      </c>
      <c r="M251" s="412">
        <f t="shared" si="41"/>
        <v>12354.9</v>
      </c>
      <c r="N251" s="412">
        <f t="shared" si="41"/>
        <v>0</v>
      </c>
    </row>
    <row r="252" spans="1:14" s="413" customFormat="1" ht="56.25">
      <c r="A252" s="408"/>
      <c r="B252" s="358" t="s">
        <v>399</v>
      </c>
      <c r="C252" s="409" t="s">
        <v>589</v>
      </c>
      <c r="D252" s="410" t="s">
        <v>86</v>
      </c>
      <c r="E252" s="410" t="s">
        <v>59</v>
      </c>
      <c r="F252" s="308" t="s">
        <v>125</v>
      </c>
      <c r="G252" s="309" t="s">
        <v>65</v>
      </c>
      <c r="H252" s="309" t="s">
        <v>63</v>
      </c>
      <c r="I252" s="364" t="s">
        <v>64</v>
      </c>
      <c r="J252" s="311"/>
      <c r="K252" s="699">
        <f t="shared" si="41"/>
        <v>12354.9</v>
      </c>
      <c r="L252" s="412">
        <f t="shared" si="41"/>
        <v>0</v>
      </c>
      <c r="M252" s="412">
        <f t="shared" si="41"/>
        <v>12354.9</v>
      </c>
      <c r="N252" s="412">
        <f t="shared" si="41"/>
        <v>0</v>
      </c>
    </row>
    <row r="253" spans="1:14" s="413" customFormat="1" ht="56.25">
      <c r="A253" s="408"/>
      <c r="B253" s="358" t="s">
        <v>460</v>
      </c>
      <c r="C253" s="409" t="s">
        <v>589</v>
      </c>
      <c r="D253" s="410" t="s">
        <v>86</v>
      </c>
      <c r="E253" s="410" t="s">
        <v>59</v>
      </c>
      <c r="F253" s="308" t="s">
        <v>125</v>
      </c>
      <c r="G253" s="309" t="s">
        <v>65</v>
      </c>
      <c r="H253" s="309" t="s">
        <v>57</v>
      </c>
      <c r="I253" s="364" t="s">
        <v>64</v>
      </c>
      <c r="J253" s="311"/>
      <c r="K253" s="699">
        <f t="shared" si="41"/>
        <v>12354.9</v>
      </c>
      <c r="L253" s="412">
        <f t="shared" si="41"/>
        <v>0</v>
      </c>
      <c r="M253" s="412">
        <f t="shared" si="41"/>
        <v>12354.9</v>
      </c>
      <c r="N253" s="412">
        <f t="shared" si="41"/>
        <v>0</v>
      </c>
    </row>
    <row r="254" spans="1:14" s="413" customFormat="1" ht="75">
      <c r="A254" s="408"/>
      <c r="B254" s="801" t="s">
        <v>1015</v>
      </c>
      <c r="C254" s="409" t="s">
        <v>589</v>
      </c>
      <c r="D254" s="410" t="s">
        <v>86</v>
      </c>
      <c r="E254" s="410" t="s">
        <v>59</v>
      </c>
      <c r="F254" s="308" t="s">
        <v>125</v>
      </c>
      <c r="G254" s="309" t="s">
        <v>65</v>
      </c>
      <c r="H254" s="309" t="s">
        <v>57</v>
      </c>
      <c r="I254" s="364" t="s">
        <v>590</v>
      </c>
      <c r="J254" s="311"/>
      <c r="K254" s="699">
        <f t="shared" si="41"/>
        <v>12354.9</v>
      </c>
      <c r="L254" s="412">
        <f t="shared" si="41"/>
        <v>0</v>
      </c>
      <c r="M254" s="412">
        <f t="shared" si="41"/>
        <v>12354.9</v>
      </c>
      <c r="N254" s="412">
        <f t="shared" si="41"/>
        <v>0</v>
      </c>
    </row>
    <row r="255" spans="1:14" s="413" customFormat="1" ht="56.25">
      <c r="A255" s="408"/>
      <c r="B255" s="358" t="s">
        <v>225</v>
      </c>
      <c r="C255" s="409" t="s">
        <v>589</v>
      </c>
      <c r="D255" s="410" t="s">
        <v>86</v>
      </c>
      <c r="E255" s="410" t="s">
        <v>59</v>
      </c>
      <c r="F255" s="308" t="s">
        <v>125</v>
      </c>
      <c r="G255" s="309" t="s">
        <v>65</v>
      </c>
      <c r="H255" s="309" t="s">
        <v>57</v>
      </c>
      <c r="I255" s="364" t="s">
        <v>590</v>
      </c>
      <c r="J255" s="311" t="s">
        <v>226</v>
      </c>
      <c r="K255" s="699">
        <v>12354.9</v>
      </c>
      <c r="L255" s="166">
        <f>M255-K255</f>
        <v>0</v>
      </c>
      <c r="M255" s="412">
        <v>12354.9</v>
      </c>
      <c r="N255" s="412">
        <v>0</v>
      </c>
    </row>
    <row r="256" spans="1:14" s="424" customFormat="1" ht="18.75">
      <c r="A256" s="421"/>
      <c r="B256" s="422" t="s">
        <v>140</v>
      </c>
      <c r="C256" s="423" t="s">
        <v>589</v>
      </c>
      <c r="D256" s="362" t="s">
        <v>125</v>
      </c>
      <c r="E256" s="362"/>
      <c r="F256" s="359"/>
      <c r="G256" s="360"/>
      <c r="H256" s="360"/>
      <c r="I256" s="361"/>
      <c r="J256" s="362"/>
      <c r="K256" s="699">
        <f>K257+K386</f>
        <v>40202.699999999997</v>
      </c>
      <c r="L256" s="412">
        <f>L257+L386</f>
        <v>0</v>
      </c>
      <c r="M256" s="412">
        <f>M257+M386</f>
        <v>40202.699999999997</v>
      </c>
      <c r="N256" s="412">
        <f>N257+N386</f>
        <v>40202.700000000004</v>
      </c>
    </row>
    <row r="257" spans="1:15" s="424" customFormat="1" ht="18.75">
      <c r="A257" s="421"/>
      <c r="B257" s="358" t="s">
        <v>215</v>
      </c>
      <c r="C257" s="423" t="s">
        <v>589</v>
      </c>
      <c r="D257" s="362" t="s">
        <v>125</v>
      </c>
      <c r="E257" s="362" t="s">
        <v>72</v>
      </c>
      <c r="F257" s="359"/>
      <c r="G257" s="360"/>
      <c r="H257" s="360"/>
      <c r="I257" s="361"/>
      <c r="J257" s="362"/>
      <c r="K257" s="699">
        <f t="shared" ref="K257:N259" si="42">K258</f>
        <v>40202.699999999997</v>
      </c>
      <c r="L257" s="412">
        <f t="shared" si="42"/>
        <v>0</v>
      </c>
      <c r="M257" s="412">
        <f t="shared" si="42"/>
        <v>40202.699999999997</v>
      </c>
      <c r="N257" s="412">
        <f t="shared" si="42"/>
        <v>40202.700000000004</v>
      </c>
    </row>
    <row r="258" spans="1:15" s="424" customFormat="1" ht="56.25">
      <c r="A258" s="421"/>
      <c r="B258" s="425" t="s">
        <v>252</v>
      </c>
      <c r="C258" s="423" t="s">
        <v>589</v>
      </c>
      <c r="D258" s="362" t="s">
        <v>125</v>
      </c>
      <c r="E258" s="362" t="s">
        <v>72</v>
      </c>
      <c r="F258" s="359" t="s">
        <v>100</v>
      </c>
      <c r="G258" s="360" t="s">
        <v>62</v>
      </c>
      <c r="H258" s="360" t="s">
        <v>63</v>
      </c>
      <c r="I258" s="361" t="s">
        <v>64</v>
      </c>
      <c r="J258" s="362"/>
      <c r="K258" s="699">
        <f t="shared" si="42"/>
        <v>40202.699999999997</v>
      </c>
      <c r="L258" s="412">
        <f t="shared" si="42"/>
        <v>0</v>
      </c>
      <c r="M258" s="412">
        <f t="shared" si="42"/>
        <v>40202.699999999997</v>
      </c>
      <c r="N258" s="412">
        <f t="shared" si="42"/>
        <v>40202.700000000004</v>
      </c>
    </row>
    <row r="259" spans="1:15" s="424" customFormat="1" ht="37.5">
      <c r="A259" s="421"/>
      <c r="B259" s="358" t="s">
        <v>404</v>
      </c>
      <c r="C259" s="423" t="s">
        <v>589</v>
      </c>
      <c r="D259" s="362" t="s">
        <v>125</v>
      </c>
      <c r="E259" s="362" t="s">
        <v>72</v>
      </c>
      <c r="F259" s="359" t="s">
        <v>100</v>
      </c>
      <c r="G259" s="360" t="s">
        <v>65</v>
      </c>
      <c r="H259" s="360" t="s">
        <v>63</v>
      </c>
      <c r="I259" s="361" t="s">
        <v>64</v>
      </c>
      <c r="J259" s="362"/>
      <c r="K259" s="699">
        <f t="shared" si="42"/>
        <v>40202.699999999997</v>
      </c>
      <c r="L259" s="412">
        <f t="shared" si="42"/>
        <v>0</v>
      </c>
      <c r="M259" s="412">
        <f t="shared" si="42"/>
        <v>40202.699999999997</v>
      </c>
      <c r="N259" s="412">
        <f t="shared" si="42"/>
        <v>40202.700000000004</v>
      </c>
    </row>
    <row r="260" spans="1:15" s="426" customFormat="1" ht="93.75">
      <c r="A260" s="421"/>
      <c r="B260" s="358" t="s">
        <v>352</v>
      </c>
      <c r="C260" s="423" t="s">
        <v>589</v>
      </c>
      <c r="D260" s="362" t="s">
        <v>125</v>
      </c>
      <c r="E260" s="362" t="s">
        <v>72</v>
      </c>
      <c r="F260" s="359" t="s">
        <v>100</v>
      </c>
      <c r="G260" s="360" t="s">
        <v>65</v>
      </c>
      <c r="H260" s="360" t="s">
        <v>59</v>
      </c>
      <c r="I260" s="361" t="s">
        <v>64</v>
      </c>
      <c r="J260" s="362"/>
      <c r="K260" s="699">
        <f>K261+K263</f>
        <v>40202.699999999997</v>
      </c>
      <c r="L260" s="412">
        <f>L261+L263</f>
        <v>0</v>
      </c>
      <c r="M260" s="412">
        <f>M261+M263</f>
        <v>40202.699999999997</v>
      </c>
      <c r="N260" s="412">
        <f>N261+N263</f>
        <v>40202.700000000004</v>
      </c>
    </row>
    <row r="261" spans="1:15" s="413" customFormat="1" ht="110.25" customHeight="1">
      <c r="A261" s="408"/>
      <c r="B261" s="363" t="s">
        <v>591</v>
      </c>
      <c r="C261" s="409" t="s">
        <v>589</v>
      </c>
      <c r="D261" s="410" t="s">
        <v>125</v>
      </c>
      <c r="E261" s="410" t="s">
        <v>72</v>
      </c>
      <c r="F261" s="308" t="s">
        <v>100</v>
      </c>
      <c r="G261" s="309" t="s">
        <v>65</v>
      </c>
      <c r="H261" s="309" t="s">
        <v>59</v>
      </c>
      <c r="I261" s="364" t="s">
        <v>592</v>
      </c>
      <c r="J261" s="311"/>
      <c r="K261" s="699">
        <f>K262</f>
        <v>30934.1</v>
      </c>
      <c r="L261" s="412">
        <f>L262</f>
        <v>0</v>
      </c>
      <c r="M261" s="412">
        <f>M262</f>
        <v>30934.1</v>
      </c>
      <c r="N261" s="412">
        <f>N262</f>
        <v>30934.100000000002</v>
      </c>
    </row>
    <row r="262" spans="1:15" s="413" customFormat="1" ht="56.25">
      <c r="A262" s="408"/>
      <c r="B262" s="363" t="s">
        <v>225</v>
      </c>
      <c r="C262" s="409" t="s">
        <v>589</v>
      </c>
      <c r="D262" s="410" t="s">
        <v>125</v>
      </c>
      <c r="E262" s="410" t="s">
        <v>72</v>
      </c>
      <c r="F262" s="308" t="s">
        <v>100</v>
      </c>
      <c r="G262" s="309" t="s">
        <v>65</v>
      </c>
      <c r="H262" s="309" t="s">
        <v>59</v>
      </c>
      <c r="I262" s="364" t="s">
        <v>592</v>
      </c>
      <c r="J262" s="311" t="s">
        <v>226</v>
      </c>
      <c r="K262" s="699">
        <v>30934.1</v>
      </c>
      <c r="L262" s="166">
        <f>M262-K262</f>
        <v>0</v>
      </c>
      <c r="M262" s="412">
        <v>30934.1</v>
      </c>
      <c r="N262" s="785">
        <f>32480.4-1546.3</f>
        <v>30934.100000000002</v>
      </c>
    </row>
    <row r="263" spans="1:15" s="413" customFormat="1" ht="117.75" customHeight="1">
      <c r="A263" s="408"/>
      <c r="B263" s="363" t="s">
        <v>591</v>
      </c>
      <c r="C263" s="409" t="s">
        <v>589</v>
      </c>
      <c r="D263" s="410" t="s">
        <v>125</v>
      </c>
      <c r="E263" s="410" t="s">
        <v>72</v>
      </c>
      <c r="F263" s="308" t="s">
        <v>100</v>
      </c>
      <c r="G263" s="309" t="s">
        <v>65</v>
      </c>
      <c r="H263" s="309" t="s">
        <v>59</v>
      </c>
      <c r="I263" s="364" t="s">
        <v>593</v>
      </c>
      <c r="J263" s="311"/>
      <c r="K263" s="699">
        <f>K264</f>
        <v>9268.6</v>
      </c>
      <c r="L263" s="412">
        <f>L264</f>
        <v>0</v>
      </c>
      <c r="M263" s="412">
        <f>M264</f>
        <v>9268.6</v>
      </c>
      <c r="N263" s="412">
        <f>N264</f>
        <v>9268.6</v>
      </c>
    </row>
    <row r="264" spans="1:15" s="413" customFormat="1" ht="56.25">
      <c r="A264" s="408"/>
      <c r="B264" s="363" t="s">
        <v>225</v>
      </c>
      <c r="C264" s="409" t="s">
        <v>589</v>
      </c>
      <c r="D264" s="410" t="s">
        <v>125</v>
      </c>
      <c r="E264" s="410" t="s">
        <v>72</v>
      </c>
      <c r="F264" s="308" t="s">
        <v>100</v>
      </c>
      <c r="G264" s="309" t="s">
        <v>65</v>
      </c>
      <c r="H264" s="309" t="s">
        <v>59</v>
      </c>
      <c r="I264" s="364" t="s">
        <v>593</v>
      </c>
      <c r="J264" s="311" t="s">
        <v>226</v>
      </c>
      <c r="K264" s="699">
        <v>9268.6</v>
      </c>
      <c r="L264" s="166">
        <f>M264-K264</f>
        <v>0</v>
      </c>
      <c r="M264" s="412">
        <v>9268.6</v>
      </c>
      <c r="N264" s="412">
        <v>9268.6</v>
      </c>
    </row>
    <row r="265" spans="1:15" s="398" customFormat="1" ht="18.75">
      <c r="A265" s="151"/>
      <c r="B265" s="164"/>
      <c r="C265" s="165"/>
      <c r="D265" s="150"/>
      <c r="E265" s="150"/>
      <c r="F265" s="744"/>
      <c r="G265" s="745"/>
      <c r="H265" s="745"/>
      <c r="I265" s="746"/>
      <c r="J265" s="150"/>
      <c r="K265" s="698"/>
      <c r="L265" s="166"/>
      <c r="M265" s="166"/>
      <c r="N265" s="166"/>
    </row>
    <row r="266" spans="1:15" s="396" customFormat="1" ht="56.25">
      <c r="A266" s="391">
        <v>5</v>
      </c>
      <c r="B266" s="158" t="s">
        <v>23</v>
      </c>
      <c r="C266" s="159" t="s">
        <v>611</v>
      </c>
      <c r="D266" s="160"/>
      <c r="E266" s="160"/>
      <c r="F266" s="161"/>
      <c r="G266" s="162"/>
      <c r="H266" s="162"/>
      <c r="I266" s="163"/>
      <c r="J266" s="160"/>
      <c r="K266" s="697" t="e">
        <f>K280+K378+K267</f>
        <v>#REF!</v>
      </c>
      <c r="L266" s="189">
        <f>L280+L378+L267</f>
        <v>0</v>
      </c>
      <c r="M266" s="189">
        <f>M280+M378+M267</f>
        <v>1022117.1</v>
      </c>
      <c r="N266" s="189">
        <f>N280+N378+N267</f>
        <v>1008274.0999999999</v>
      </c>
      <c r="O266" s="427"/>
    </row>
    <row r="267" spans="1:15" s="396" customFormat="1" ht="18.75">
      <c r="A267" s="391"/>
      <c r="B267" s="655" t="s">
        <v>56</v>
      </c>
      <c r="C267" s="668" t="s">
        <v>611</v>
      </c>
      <c r="D267" s="659" t="s">
        <v>57</v>
      </c>
      <c r="E267" s="301"/>
      <c r="F267" s="669"/>
      <c r="G267" s="315"/>
      <c r="H267" s="315"/>
      <c r="I267" s="316"/>
      <c r="J267" s="301"/>
      <c r="K267" s="698">
        <f t="shared" ref="K267:M268" si="43">K268</f>
        <v>228.8</v>
      </c>
      <c r="L267" s="583">
        <f t="shared" si="43"/>
        <v>0</v>
      </c>
      <c r="M267" s="583">
        <f t="shared" si="43"/>
        <v>228.8</v>
      </c>
      <c r="N267" s="583">
        <f t="shared" ref="N267:N268" si="44">N268</f>
        <v>228.8</v>
      </c>
      <c r="O267" s="427"/>
    </row>
    <row r="268" spans="1:15" s="396" customFormat="1" ht="18.75">
      <c r="A268" s="391"/>
      <c r="B268" s="655" t="s">
        <v>91</v>
      </c>
      <c r="C268" s="670" t="s">
        <v>611</v>
      </c>
      <c r="D268" s="659" t="s">
        <v>57</v>
      </c>
      <c r="E268" s="659" t="s">
        <v>92</v>
      </c>
      <c r="F268" s="669"/>
      <c r="G268" s="315"/>
      <c r="H268" s="315"/>
      <c r="I268" s="316"/>
      <c r="J268" s="301"/>
      <c r="K268" s="698">
        <f t="shared" si="43"/>
        <v>228.8</v>
      </c>
      <c r="L268" s="583">
        <f t="shared" si="43"/>
        <v>0</v>
      </c>
      <c r="M268" s="583">
        <f t="shared" si="43"/>
        <v>228.8</v>
      </c>
      <c r="N268" s="583">
        <f t="shared" si="44"/>
        <v>228.8</v>
      </c>
      <c r="O268" s="427"/>
    </row>
    <row r="269" spans="1:15" s="396" customFormat="1" ht="56.25">
      <c r="A269" s="391"/>
      <c r="B269" s="655" t="s">
        <v>227</v>
      </c>
      <c r="C269" s="668" t="s">
        <v>611</v>
      </c>
      <c r="D269" s="659" t="s">
        <v>57</v>
      </c>
      <c r="E269" s="659" t="s">
        <v>92</v>
      </c>
      <c r="F269" s="656" t="s">
        <v>59</v>
      </c>
      <c r="G269" s="657" t="s">
        <v>62</v>
      </c>
      <c r="H269" s="657" t="s">
        <v>63</v>
      </c>
      <c r="I269" s="658" t="s">
        <v>64</v>
      </c>
      <c r="J269" s="659"/>
      <c r="K269" s="698">
        <f>K270</f>
        <v>228.8</v>
      </c>
      <c r="L269" s="583">
        <f>L270</f>
        <v>0</v>
      </c>
      <c r="M269" s="583">
        <f>M270</f>
        <v>228.8</v>
      </c>
      <c r="N269" s="583">
        <f>N270</f>
        <v>228.8</v>
      </c>
      <c r="O269" s="427"/>
    </row>
    <row r="270" spans="1:15" s="396" customFormat="1" ht="56.25">
      <c r="A270" s="391"/>
      <c r="B270" s="622" t="s">
        <v>234</v>
      </c>
      <c r="C270" s="668" t="s">
        <v>611</v>
      </c>
      <c r="D270" s="659" t="s">
        <v>57</v>
      </c>
      <c r="E270" s="659" t="s">
        <v>92</v>
      </c>
      <c r="F270" s="656" t="s">
        <v>59</v>
      </c>
      <c r="G270" s="657" t="s">
        <v>50</v>
      </c>
      <c r="H270" s="657" t="s">
        <v>63</v>
      </c>
      <c r="I270" s="658" t="s">
        <v>64</v>
      </c>
      <c r="J270" s="659"/>
      <c r="K270" s="698">
        <f>K271+K274+K277</f>
        <v>228.8</v>
      </c>
      <c r="L270" s="583">
        <f>L271+L274+L277</f>
        <v>0</v>
      </c>
      <c r="M270" s="583">
        <f>M271+M274+M277</f>
        <v>228.8</v>
      </c>
      <c r="N270" s="583">
        <f>N271+N274+N277</f>
        <v>228.8</v>
      </c>
      <c r="O270" s="427"/>
    </row>
    <row r="271" spans="1:15" s="396" customFormat="1" ht="37.5">
      <c r="A271" s="391"/>
      <c r="B271" s="655" t="s">
        <v>428</v>
      </c>
      <c r="C271" s="668" t="s">
        <v>611</v>
      </c>
      <c r="D271" s="659" t="s">
        <v>57</v>
      </c>
      <c r="E271" s="659" t="s">
        <v>92</v>
      </c>
      <c r="F271" s="656" t="s">
        <v>59</v>
      </c>
      <c r="G271" s="657" t="s">
        <v>50</v>
      </c>
      <c r="H271" s="657" t="s">
        <v>84</v>
      </c>
      <c r="I271" s="658" t="s">
        <v>64</v>
      </c>
      <c r="J271" s="659"/>
      <c r="K271" s="698">
        <f t="shared" ref="K271:N272" si="45">K272</f>
        <v>100.4</v>
      </c>
      <c r="L271" s="583">
        <f t="shared" si="45"/>
        <v>0</v>
      </c>
      <c r="M271" s="583">
        <f t="shared" si="45"/>
        <v>100.4</v>
      </c>
      <c r="N271" s="583">
        <f t="shared" si="45"/>
        <v>100.4</v>
      </c>
      <c r="O271" s="427"/>
    </row>
    <row r="272" spans="1:15" s="396" customFormat="1" ht="57" customHeight="1">
      <c r="A272" s="391"/>
      <c r="B272" s="622" t="s">
        <v>821</v>
      </c>
      <c r="C272" s="670" t="s">
        <v>611</v>
      </c>
      <c r="D272" s="659" t="s">
        <v>57</v>
      </c>
      <c r="E272" s="659" t="s">
        <v>92</v>
      </c>
      <c r="F272" s="656" t="s">
        <v>59</v>
      </c>
      <c r="G272" s="657" t="s">
        <v>50</v>
      </c>
      <c r="H272" s="657" t="s">
        <v>84</v>
      </c>
      <c r="I272" s="658" t="s">
        <v>126</v>
      </c>
      <c r="J272" s="659"/>
      <c r="K272" s="698">
        <f t="shared" si="45"/>
        <v>100.4</v>
      </c>
      <c r="L272" s="583">
        <f t="shared" si="45"/>
        <v>0</v>
      </c>
      <c r="M272" s="583">
        <f t="shared" si="45"/>
        <v>100.4</v>
      </c>
      <c r="N272" s="583">
        <f t="shared" si="45"/>
        <v>100.4</v>
      </c>
      <c r="O272" s="427"/>
    </row>
    <row r="273" spans="1:15" s="396" customFormat="1" ht="56.25">
      <c r="A273" s="391"/>
      <c r="B273" s="622" t="s">
        <v>75</v>
      </c>
      <c r="C273" s="670" t="s">
        <v>611</v>
      </c>
      <c r="D273" s="659" t="s">
        <v>57</v>
      </c>
      <c r="E273" s="659" t="s">
        <v>92</v>
      </c>
      <c r="F273" s="656" t="s">
        <v>59</v>
      </c>
      <c r="G273" s="657" t="s">
        <v>50</v>
      </c>
      <c r="H273" s="657" t="s">
        <v>84</v>
      </c>
      <c r="I273" s="658" t="s">
        <v>126</v>
      </c>
      <c r="J273" s="659" t="s">
        <v>76</v>
      </c>
      <c r="K273" s="698">
        <v>100.4</v>
      </c>
      <c r="L273" s="166">
        <f>M273-K273</f>
        <v>0</v>
      </c>
      <c r="M273" s="583">
        <v>100.4</v>
      </c>
      <c r="N273" s="583">
        <v>100.4</v>
      </c>
      <c r="O273" s="427"/>
    </row>
    <row r="274" spans="1:15" s="396" customFormat="1" ht="37.5">
      <c r="A274" s="391"/>
      <c r="B274" s="622" t="s">
        <v>804</v>
      </c>
      <c r="C274" s="668" t="s">
        <v>611</v>
      </c>
      <c r="D274" s="659" t="s">
        <v>57</v>
      </c>
      <c r="E274" s="659" t="s">
        <v>92</v>
      </c>
      <c r="F274" s="656" t="s">
        <v>59</v>
      </c>
      <c r="G274" s="657" t="s">
        <v>50</v>
      </c>
      <c r="H274" s="657" t="s">
        <v>72</v>
      </c>
      <c r="I274" s="658" t="s">
        <v>64</v>
      </c>
      <c r="J274" s="659"/>
      <c r="K274" s="698">
        <f t="shared" ref="K274:N275" si="46">K275</f>
        <v>25</v>
      </c>
      <c r="L274" s="583">
        <f t="shared" si="46"/>
        <v>0</v>
      </c>
      <c r="M274" s="583">
        <f t="shared" si="46"/>
        <v>25</v>
      </c>
      <c r="N274" s="583">
        <f t="shared" si="46"/>
        <v>25</v>
      </c>
      <c r="O274" s="427"/>
    </row>
    <row r="275" spans="1:15" s="396" customFormat="1" ht="18.75">
      <c r="A275" s="391"/>
      <c r="B275" s="622" t="s">
        <v>822</v>
      </c>
      <c r="C275" s="670" t="s">
        <v>611</v>
      </c>
      <c r="D275" s="659" t="s">
        <v>57</v>
      </c>
      <c r="E275" s="659" t="s">
        <v>92</v>
      </c>
      <c r="F275" s="656" t="s">
        <v>59</v>
      </c>
      <c r="G275" s="657" t="s">
        <v>50</v>
      </c>
      <c r="H275" s="657" t="s">
        <v>72</v>
      </c>
      <c r="I275" s="658" t="s">
        <v>803</v>
      </c>
      <c r="J275" s="659"/>
      <c r="K275" s="698">
        <f t="shared" si="46"/>
        <v>25</v>
      </c>
      <c r="L275" s="583">
        <f t="shared" si="46"/>
        <v>0</v>
      </c>
      <c r="M275" s="583">
        <f t="shared" si="46"/>
        <v>25</v>
      </c>
      <c r="N275" s="583">
        <f t="shared" si="46"/>
        <v>25</v>
      </c>
      <c r="O275" s="427"/>
    </row>
    <row r="276" spans="1:15" s="396" customFormat="1" ht="56.25">
      <c r="A276" s="391"/>
      <c r="B276" s="622" t="s">
        <v>75</v>
      </c>
      <c r="C276" s="670" t="s">
        <v>611</v>
      </c>
      <c r="D276" s="659" t="s">
        <v>57</v>
      </c>
      <c r="E276" s="659" t="s">
        <v>92</v>
      </c>
      <c r="F276" s="656" t="s">
        <v>59</v>
      </c>
      <c r="G276" s="657" t="s">
        <v>50</v>
      </c>
      <c r="H276" s="657" t="s">
        <v>72</v>
      </c>
      <c r="I276" s="658" t="s">
        <v>803</v>
      </c>
      <c r="J276" s="659" t="s">
        <v>76</v>
      </c>
      <c r="K276" s="698">
        <v>25</v>
      </c>
      <c r="L276" s="166">
        <f>M276-K276</f>
        <v>0</v>
      </c>
      <c r="M276" s="583">
        <v>25</v>
      </c>
      <c r="N276" s="583">
        <v>25</v>
      </c>
      <c r="O276" s="427"/>
    </row>
    <row r="277" spans="1:15" s="396" customFormat="1" ht="37.5">
      <c r="A277" s="391"/>
      <c r="B277" s="622" t="s">
        <v>818</v>
      </c>
      <c r="C277" s="670" t="s">
        <v>611</v>
      </c>
      <c r="D277" s="659" t="s">
        <v>57</v>
      </c>
      <c r="E277" s="659" t="s">
        <v>92</v>
      </c>
      <c r="F277" s="656" t="s">
        <v>59</v>
      </c>
      <c r="G277" s="657" t="s">
        <v>50</v>
      </c>
      <c r="H277" s="657" t="s">
        <v>86</v>
      </c>
      <c r="I277" s="740" t="s">
        <v>64</v>
      </c>
      <c r="J277" s="289"/>
      <c r="K277" s="698">
        <f t="shared" ref="K277:N278" si="47">K278</f>
        <v>103.4</v>
      </c>
      <c r="L277" s="583">
        <f t="shared" si="47"/>
        <v>0</v>
      </c>
      <c r="M277" s="583">
        <f t="shared" si="47"/>
        <v>103.4</v>
      </c>
      <c r="N277" s="583">
        <f t="shared" si="47"/>
        <v>103.4</v>
      </c>
      <c r="O277" s="427"/>
    </row>
    <row r="278" spans="1:15" s="396" customFormat="1" ht="37.5">
      <c r="A278" s="391"/>
      <c r="B278" s="622" t="s">
        <v>148</v>
      </c>
      <c r="C278" s="670" t="s">
        <v>611</v>
      </c>
      <c r="D278" s="659" t="s">
        <v>57</v>
      </c>
      <c r="E278" s="659" t="s">
        <v>92</v>
      </c>
      <c r="F278" s="656" t="s">
        <v>59</v>
      </c>
      <c r="G278" s="657" t="s">
        <v>50</v>
      </c>
      <c r="H278" s="657" t="s">
        <v>86</v>
      </c>
      <c r="I278" s="740" t="s">
        <v>111</v>
      </c>
      <c r="J278" s="289"/>
      <c r="K278" s="698">
        <f t="shared" si="47"/>
        <v>103.4</v>
      </c>
      <c r="L278" s="583">
        <f t="shared" si="47"/>
        <v>0</v>
      </c>
      <c r="M278" s="583">
        <f t="shared" si="47"/>
        <v>103.4</v>
      </c>
      <c r="N278" s="583">
        <f t="shared" si="47"/>
        <v>103.4</v>
      </c>
      <c r="O278" s="427"/>
    </row>
    <row r="279" spans="1:15" s="396" customFormat="1" ht="56.25">
      <c r="A279" s="391"/>
      <c r="B279" s="622" t="s">
        <v>75</v>
      </c>
      <c r="C279" s="670" t="s">
        <v>611</v>
      </c>
      <c r="D279" s="659" t="s">
        <v>57</v>
      </c>
      <c r="E279" s="659" t="s">
        <v>92</v>
      </c>
      <c r="F279" s="656" t="s">
        <v>59</v>
      </c>
      <c r="G279" s="657" t="s">
        <v>50</v>
      </c>
      <c r="H279" s="657" t="s">
        <v>86</v>
      </c>
      <c r="I279" s="740" t="s">
        <v>111</v>
      </c>
      <c r="J279" s="289" t="s">
        <v>76</v>
      </c>
      <c r="K279" s="698">
        <v>103.4</v>
      </c>
      <c r="L279" s="166">
        <f>M279-K279</f>
        <v>0</v>
      </c>
      <c r="M279" s="583">
        <v>103.4</v>
      </c>
      <c r="N279" s="583">
        <v>103.4</v>
      </c>
      <c r="O279" s="427"/>
    </row>
    <row r="280" spans="1:15" s="397" customFormat="1" ht="18.75">
      <c r="A280" s="151"/>
      <c r="B280" s="164" t="s">
        <v>201</v>
      </c>
      <c r="C280" s="165" t="s">
        <v>611</v>
      </c>
      <c r="D280" s="150" t="s">
        <v>246</v>
      </c>
      <c r="E280" s="150"/>
      <c r="F280" s="744"/>
      <c r="G280" s="745"/>
      <c r="H280" s="745"/>
      <c r="I280" s="746"/>
      <c r="J280" s="150"/>
      <c r="K280" s="698" t="e">
        <f>K281+K296+K362+K336+K356</f>
        <v>#REF!</v>
      </c>
      <c r="L280" s="166">
        <f>L281+L296+L362+L336+L356</f>
        <v>0</v>
      </c>
      <c r="M280" s="166">
        <f>M281+M296+M362+M336+M356</f>
        <v>1013854.1</v>
      </c>
      <c r="N280" s="166">
        <f>N281+N296+N362+N336+N356</f>
        <v>1000011.0999999999</v>
      </c>
      <c r="O280" s="428"/>
    </row>
    <row r="281" spans="1:15" s="396" customFormat="1" ht="18.75">
      <c r="A281" s="151"/>
      <c r="B281" s="164" t="s">
        <v>203</v>
      </c>
      <c r="C281" s="165" t="s">
        <v>611</v>
      </c>
      <c r="D281" s="150" t="s">
        <v>246</v>
      </c>
      <c r="E281" s="150" t="s">
        <v>57</v>
      </c>
      <c r="F281" s="744"/>
      <c r="G281" s="745"/>
      <c r="H281" s="745"/>
      <c r="I281" s="746"/>
      <c r="J281" s="150"/>
      <c r="K281" s="698">
        <f>K282+K291</f>
        <v>311662.7</v>
      </c>
      <c r="L281" s="166">
        <f>L282+L291</f>
        <v>0</v>
      </c>
      <c r="M281" s="166">
        <f>M282+M291</f>
        <v>311662.7</v>
      </c>
      <c r="N281" s="166">
        <f>N282+N291</f>
        <v>310578.99999999994</v>
      </c>
    </row>
    <row r="282" spans="1:15" s="396" customFormat="1" ht="56.25">
      <c r="A282" s="151"/>
      <c r="B282" s="164" t="s">
        <v>227</v>
      </c>
      <c r="C282" s="165" t="s">
        <v>611</v>
      </c>
      <c r="D282" s="150" t="s">
        <v>246</v>
      </c>
      <c r="E282" s="150" t="s">
        <v>57</v>
      </c>
      <c r="F282" s="744" t="s">
        <v>59</v>
      </c>
      <c r="G282" s="745" t="s">
        <v>62</v>
      </c>
      <c r="H282" s="745" t="s">
        <v>63</v>
      </c>
      <c r="I282" s="746" t="s">
        <v>64</v>
      </c>
      <c r="J282" s="150"/>
      <c r="K282" s="698">
        <f t="shared" ref="K282:N283" si="48">K283</f>
        <v>310346.8</v>
      </c>
      <c r="L282" s="166">
        <f t="shared" si="48"/>
        <v>0</v>
      </c>
      <c r="M282" s="166">
        <f t="shared" si="48"/>
        <v>310346.8</v>
      </c>
      <c r="N282" s="166">
        <f t="shared" si="48"/>
        <v>309950.69999999995</v>
      </c>
    </row>
    <row r="283" spans="1:15" s="396" customFormat="1" ht="37.5">
      <c r="A283" s="151"/>
      <c r="B283" s="164" t="s">
        <v>228</v>
      </c>
      <c r="C283" s="165" t="s">
        <v>611</v>
      </c>
      <c r="D283" s="150" t="s">
        <v>246</v>
      </c>
      <c r="E283" s="150" t="s">
        <v>57</v>
      </c>
      <c r="F283" s="744" t="s">
        <v>59</v>
      </c>
      <c r="G283" s="745" t="s">
        <v>65</v>
      </c>
      <c r="H283" s="745" t="s">
        <v>63</v>
      </c>
      <c r="I283" s="746" t="s">
        <v>64</v>
      </c>
      <c r="J283" s="150"/>
      <c r="K283" s="698">
        <f>K284</f>
        <v>310346.8</v>
      </c>
      <c r="L283" s="166">
        <f>L284</f>
        <v>0</v>
      </c>
      <c r="M283" s="166">
        <f>M284</f>
        <v>310346.8</v>
      </c>
      <c r="N283" s="166">
        <f t="shared" si="48"/>
        <v>309950.69999999995</v>
      </c>
    </row>
    <row r="284" spans="1:15" s="396" customFormat="1" ht="37.5">
      <c r="A284" s="151"/>
      <c r="B284" s="164" t="s">
        <v>307</v>
      </c>
      <c r="C284" s="165" t="s">
        <v>611</v>
      </c>
      <c r="D284" s="150" t="s">
        <v>246</v>
      </c>
      <c r="E284" s="150" t="s">
        <v>57</v>
      </c>
      <c r="F284" s="744" t="s">
        <v>59</v>
      </c>
      <c r="G284" s="745" t="s">
        <v>65</v>
      </c>
      <c r="H284" s="745" t="s">
        <v>57</v>
      </c>
      <c r="I284" s="746" t="s">
        <v>64</v>
      </c>
      <c r="J284" s="150"/>
      <c r="K284" s="698">
        <f>K287+K289+K285</f>
        <v>310346.8</v>
      </c>
      <c r="L284" s="166">
        <f>L287+L289+L285</f>
        <v>0</v>
      </c>
      <c r="M284" s="166">
        <f>M287+M289+M285</f>
        <v>310346.8</v>
      </c>
      <c r="N284" s="166">
        <f>N287+N289+N285</f>
        <v>309950.69999999995</v>
      </c>
    </row>
    <row r="285" spans="1:15" s="392" customFormat="1" ht="46.5" customHeight="1">
      <c r="A285" s="151"/>
      <c r="B285" s="304" t="s">
        <v>800</v>
      </c>
      <c r="C285" s="165" t="s">
        <v>611</v>
      </c>
      <c r="D285" s="150" t="s">
        <v>246</v>
      </c>
      <c r="E285" s="150" t="s">
        <v>57</v>
      </c>
      <c r="F285" s="744" t="s">
        <v>59</v>
      </c>
      <c r="G285" s="745" t="s">
        <v>65</v>
      </c>
      <c r="H285" s="745" t="s">
        <v>57</v>
      </c>
      <c r="I285" s="746" t="s">
        <v>112</v>
      </c>
      <c r="J285" s="150"/>
      <c r="K285" s="698">
        <f>K286</f>
        <v>97128.3</v>
      </c>
      <c r="L285" s="166">
        <f>L286</f>
        <v>0</v>
      </c>
      <c r="M285" s="166">
        <f>M286</f>
        <v>97128.3</v>
      </c>
      <c r="N285" s="166">
        <f>N286</f>
        <v>96714.1</v>
      </c>
    </row>
    <row r="286" spans="1:15" s="392" customFormat="1" ht="56.25">
      <c r="A286" s="151"/>
      <c r="B286" s="164" t="s">
        <v>97</v>
      </c>
      <c r="C286" s="165" t="s">
        <v>611</v>
      </c>
      <c r="D286" s="150" t="s">
        <v>246</v>
      </c>
      <c r="E286" s="150" t="s">
        <v>57</v>
      </c>
      <c r="F286" s="744" t="s">
        <v>59</v>
      </c>
      <c r="G286" s="745" t="s">
        <v>65</v>
      </c>
      <c r="H286" s="745" t="s">
        <v>57</v>
      </c>
      <c r="I286" s="746" t="s">
        <v>112</v>
      </c>
      <c r="J286" s="150" t="s">
        <v>98</v>
      </c>
      <c r="K286" s="698">
        <v>97128.3</v>
      </c>
      <c r="L286" s="166">
        <f>M286-K286</f>
        <v>0</v>
      </c>
      <c r="M286" s="166">
        <v>97128.3</v>
      </c>
      <c r="N286" s="166">
        <v>96714.1</v>
      </c>
    </row>
    <row r="287" spans="1:15" s="396" customFormat="1" ht="191.25" customHeight="1">
      <c r="A287" s="151"/>
      <c r="B287" s="164" t="s">
        <v>308</v>
      </c>
      <c r="C287" s="165" t="s">
        <v>611</v>
      </c>
      <c r="D287" s="150" t="s">
        <v>246</v>
      </c>
      <c r="E287" s="150" t="s">
        <v>57</v>
      </c>
      <c r="F287" s="744" t="s">
        <v>59</v>
      </c>
      <c r="G287" s="745" t="s">
        <v>65</v>
      </c>
      <c r="H287" s="745" t="s">
        <v>57</v>
      </c>
      <c r="I287" s="746" t="s">
        <v>309</v>
      </c>
      <c r="J287" s="150"/>
      <c r="K287" s="698">
        <f>K288</f>
        <v>520.70000000000005</v>
      </c>
      <c r="L287" s="166">
        <f>L288</f>
        <v>0</v>
      </c>
      <c r="M287" s="166">
        <f>M288</f>
        <v>520.70000000000005</v>
      </c>
      <c r="N287" s="166">
        <f>N288</f>
        <v>538.79999999999995</v>
      </c>
    </row>
    <row r="288" spans="1:15" s="396" customFormat="1" ht="56.25">
      <c r="A288" s="151"/>
      <c r="B288" s="164" t="s">
        <v>97</v>
      </c>
      <c r="C288" s="165" t="s">
        <v>611</v>
      </c>
      <c r="D288" s="150" t="s">
        <v>246</v>
      </c>
      <c r="E288" s="150" t="s">
        <v>57</v>
      </c>
      <c r="F288" s="744" t="s">
        <v>59</v>
      </c>
      <c r="G288" s="745" t="s">
        <v>65</v>
      </c>
      <c r="H288" s="745" t="s">
        <v>57</v>
      </c>
      <c r="I288" s="746" t="s">
        <v>309</v>
      </c>
      <c r="J288" s="150" t="s">
        <v>98</v>
      </c>
      <c r="K288" s="698">
        <v>520.70000000000005</v>
      </c>
      <c r="L288" s="166">
        <f>M288-K288</f>
        <v>0</v>
      </c>
      <c r="M288" s="166">
        <v>520.70000000000005</v>
      </c>
      <c r="N288" s="166">
        <v>538.79999999999995</v>
      </c>
    </row>
    <row r="289" spans="1:14" s="396" customFormat="1" ht="120.75" customHeight="1">
      <c r="A289" s="151"/>
      <c r="B289" s="164" t="s">
        <v>415</v>
      </c>
      <c r="C289" s="165" t="s">
        <v>611</v>
      </c>
      <c r="D289" s="150" t="s">
        <v>246</v>
      </c>
      <c r="E289" s="150" t="s">
        <v>57</v>
      </c>
      <c r="F289" s="744" t="s">
        <v>59</v>
      </c>
      <c r="G289" s="745" t="s">
        <v>65</v>
      </c>
      <c r="H289" s="745" t="s">
        <v>57</v>
      </c>
      <c r="I289" s="746" t="s">
        <v>310</v>
      </c>
      <c r="J289" s="150"/>
      <c r="K289" s="698">
        <f>K290</f>
        <v>212697.8</v>
      </c>
      <c r="L289" s="166">
        <f>L290</f>
        <v>0</v>
      </c>
      <c r="M289" s="166">
        <f>M290</f>
        <v>212697.8</v>
      </c>
      <c r="N289" s="166">
        <f>N290</f>
        <v>212697.8</v>
      </c>
    </row>
    <row r="290" spans="1:14" s="396" customFormat="1" ht="56.25">
      <c r="A290" s="151"/>
      <c r="B290" s="164" t="s">
        <v>97</v>
      </c>
      <c r="C290" s="165" t="s">
        <v>611</v>
      </c>
      <c r="D290" s="150" t="s">
        <v>246</v>
      </c>
      <c r="E290" s="150" t="s">
        <v>57</v>
      </c>
      <c r="F290" s="744" t="s">
        <v>59</v>
      </c>
      <c r="G290" s="745" t="s">
        <v>65</v>
      </c>
      <c r="H290" s="745" t="s">
        <v>57</v>
      </c>
      <c r="I290" s="746" t="s">
        <v>310</v>
      </c>
      <c r="J290" s="150" t="s">
        <v>98</v>
      </c>
      <c r="K290" s="698">
        <v>212697.8</v>
      </c>
      <c r="L290" s="166">
        <f>M290-K290</f>
        <v>0</v>
      </c>
      <c r="M290" s="166">
        <v>212697.8</v>
      </c>
      <c r="N290" s="166">
        <v>212697.8</v>
      </c>
    </row>
    <row r="291" spans="1:14" s="396" customFormat="1" ht="60" customHeight="1">
      <c r="A291" s="151"/>
      <c r="B291" s="164" t="s">
        <v>101</v>
      </c>
      <c r="C291" s="165" t="s">
        <v>611</v>
      </c>
      <c r="D291" s="150" t="s">
        <v>246</v>
      </c>
      <c r="E291" s="150" t="s">
        <v>57</v>
      </c>
      <c r="F291" s="744" t="s">
        <v>102</v>
      </c>
      <c r="G291" s="745" t="s">
        <v>62</v>
      </c>
      <c r="H291" s="745" t="s">
        <v>63</v>
      </c>
      <c r="I291" s="746" t="s">
        <v>64</v>
      </c>
      <c r="J291" s="150"/>
      <c r="K291" s="698">
        <f t="shared" ref="K291:N294" si="49">K292</f>
        <v>1315.9</v>
      </c>
      <c r="L291" s="166">
        <f t="shared" si="49"/>
        <v>0</v>
      </c>
      <c r="M291" s="166">
        <f t="shared" si="49"/>
        <v>1315.9</v>
      </c>
      <c r="N291" s="166">
        <f>N292</f>
        <v>628.29999999999995</v>
      </c>
    </row>
    <row r="292" spans="1:14" s="396" customFormat="1" ht="37.5">
      <c r="A292" s="151"/>
      <c r="B292" s="164" t="s">
        <v>146</v>
      </c>
      <c r="C292" s="165" t="s">
        <v>611</v>
      </c>
      <c r="D292" s="150" t="s">
        <v>246</v>
      </c>
      <c r="E292" s="150" t="s">
        <v>57</v>
      </c>
      <c r="F292" s="744" t="s">
        <v>102</v>
      </c>
      <c r="G292" s="745" t="s">
        <v>110</v>
      </c>
      <c r="H292" s="745" t="s">
        <v>63</v>
      </c>
      <c r="I292" s="746" t="s">
        <v>64</v>
      </c>
      <c r="J292" s="150"/>
      <c r="K292" s="698">
        <f t="shared" si="49"/>
        <v>1315.9</v>
      </c>
      <c r="L292" s="166">
        <f t="shared" si="49"/>
        <v>0</v>
      </c>
      <c r="M292" s="166">
        <f t="shared" si="49"/>
        <v>1315.9</v>
      </c>
      <c r="N292" s="166">
        <f t="shared" si="49"/>
        <v>628.29999999999995</v>
      </c>
    </row>
    <row r="293" spans="1:14" s="396" customFormat="1" ht="41.25" customHeight="1">
      <c r="A293" s="151"/>
      <c r="B293" s="164" t="s">
        <v>311</v>
      </c>
      <c r="C293" s="165" t="s">
        <v>611</v>
      </c>
      <c r="D293" s="150" t="s">
        <v>246</v>
      </c>
      <c r="E293" s="150" t="s">
        <v>57</v>
      </c>
      <c r="F293" s="744" t="s">
        <v>102</v>
      </c>
      <c r="G293" s="745" t="s">
        <v>110</v>
      </c>
      <c r="H293" s="745" t="s">
        <v>57</v>
      </c>
      <c r="I293" s="746" t="s">
        <v>64</v>
      </c>
      <c r="J293" s="150"/>
      <c r="K293" s="698">
        <f t="shared" si="49"/>
        <v>1315.9</v>
      </c>
      <c r="L293" s="166">
        <f t="shared" si="49"/>
        <v>0</v>
      </c>
      <c r="M293" s="166">
        <f t="shared" si="49"/>
        <v>1315.9</v>
      </c>
      <c r="N293" s="166">
        <f t="shared" si="49"/>
        <v>628.29999999999995</v>
      </c>
    </row>
    <row r="294" spans="1:14" s="396" customFormat="1" ht="18.75">
      <c r="A294" s="151"/>
      <c r="B294" s="164" t="s">
        <v>686</v>
      </c>
      <c r="C294" s="165" t="s">
        <v>611</v>
      </c>
      <c r="D294" s="150" t="s">
        <v>246</v>
      </c>
      <c r="E294" s="150" t="s">
        <v>57</v>
      </c>
      <c r="F294" s="744" t="s">
        <v>102</v>
      </c>
      <c r="G294" s="745" t="s">
        <v>110</v>
      </c>
      <c r="H294" s="745" t="s">
        <v>57</v>
      </c>
      <c r="I294" s="746" t="s">
        <v>687</v>
      </c>
      <c r="J294" s="150"/>
      <c r="K294" s="698">
        <f t="shared" si="49"/>
        <v>1315.9</v>
      </c>
      <c r="L294" s="166">
        <f t="shared" si="49"/>
        <v>0</v>
      </c>
      <c r="M294" s="166">
        <f t="shared" si="49"/>
        <v>1315.9</v>
      </c>
      <c r="N294" s="166">
        <f t="shared" si="49"/>
        <v>628.29999999999995</v>
      </c>
    </row>
    <row r="295" spans="1:14" s="396" customFormat="1" ht="56.25">
      <c r="A295" s="151"/>
      <c r="B295" s="164" t="s">
        <v>97</v>
      </c>
      <c r="C295" s="165" t="s">
        <v>611</v>
      </c>
      <c r="D295" s="150" t="s">
        <v>246</v>
      </c>
      <c r="E295" s="150" t="s">
        <v>57</v>
      </c>
      <c r="F295" s="744" t="s">
        <v>102</v>
      </c>
      <c r="G295" s="745" t="s">
        <v>110</v>
      </c>
      <c r="H295" s="745" t="s">
        <v>57</v>
      </c>
      <c r="I295" s="746" t="s">
        <v>687</v>
      </c>
      <c r="J295" s="150" t="s">
        <v>98</v>
      </c>
      <c r="K295" s="698">
        <v>1315.9</v>
      </c>
      <c r="L295" s="166">
        <f>M295-K295</f>
        <v>0</v>
      </c>
      <c r="M295" s="166">
        <v>1315.9</v>
      </c>
      <c r="N295" s="166">
        <v>628.29999999999995</v>
      </c>
    </row>
    <row r="296" spans="1:14" s="396" customFormat="1" ht="18.75">
      <c r="A296" s="151"/>
      <c r="B296" s="164" t="s">
        <v>205</v>
      </c>
      <c r="C296" s="165" t="s">
        <v>611</v>
      </c>
      <c r="D296" s="150" t="s">
        <v>246</v>
      </c>
      <c r="E296" s="150" t="s">
        <v>59</v>
      </c>
      <c r="F296" s="744"/>
      <c r="G296" s="745"/>
      <c r="H296" s="745"/>
      <c r="I296" s="746"/>
      <c r="J296" s="150"/>
      <c r="K296" s="698" t="e">
        <f>K297+K330</f>
        <v>#REF!</v>
      </c>
      <c r="L296" s="166">
        <f>L297+L330</f>
        <v>0</v>
      </c>
      <c r="M296" s="166">
        <f>M297+M330</f>
        <v>577408.29999999993</v>
      </c>
      <c r="N296" s="166">
        <f>N297+N330</f>
        <v>563979.39999999991</v>
      </c>
    </row>
    <row r="297" spans="1:14" s="396" customFormat="1" ht="56.25">
      <c r="A297" s="151"/>
      <c r="B297" s="164" t="s">
        <v>227</v>
      </c>
      <c r="C297" s="165" t="s">
        <v>611</v>
      </c>
      <c r="D297" s="150" t="s">
        <v>246</v>
      </c>
      <c r="E297" s="150" t="s">
        <v>59</v>
      </c>
      <c r="F297" s="744" t="s">
        <v>59</v>
      </c>
      <c r="G297" s="745" t="s">
        <v>62</v>
      </c>
      <c r="H297" s="745" t="s">
        <v>63</v>
      </c>
      <c r="I297" s="746" t="s">
        <v>64</v>
      </c>
      <c r="J297" s="150"/>
      <c r="K297" s="698" t="e">
        <f>K298+K325</f>
        <v>#REF!</v>
      </c>
      <c r="L297" s="166">
        <f>L298+L325</f>
        <v>0</v>
      </c>
      <c r="M297" s="166">
        <f>M298+M325</f>
        <v>570154.1</v>
      </c>
      <c r="N297" s="166">
        <f>N298+N325</f>
        <v>563979.39999999991</v>
      </c>
    </row>
    <row r="298" spans="1:14" s="396" customFormat="1" ht="37.5">
      <c r="A298" s="151"/>
      <c r="B298" s="164" t="s">
        <v>228</v>
      </c>
      <c r="C298" s="165" t="s">
        <v>611</v>
      </c>
      <c r="D298" s="150" t="s">
        <v>246</v>
      </c>
      <c r="E298" s="150" t="s">
        <v>59</v>
      </c>
      <c r="F298" s="744" t="s">
        <v>59</v>
      </c>
      <c r="G298" s="745" t="s">
        <v>65</v>
      </c>
      <c r="H298" s="745" t="s">
        <v>63</v>
      </c>
      <c r="I298" s="746" t="s">
        <v>64</v>
      </c>
      <c r="J298" s="150"/>
      <c r="K298" s="698" t="e">
        <f>K299+#REF!</f>
        <v>#REF!</v>
      </c>
      <c r="L298" s="166">
        <f>L299</f>
        <v>0</v>
      </c>
      <c r="M298" s="166">
        <f>M299</f>
        <v>567796.1</v>
      </c>
      <c r="N298" s="166">
        <f>N299</f>
        <v>561621.39999999991</v>
      </c>
    </row>
    <row r="299" spans="1:14" s="396" customFormat="1" ht="18.75">
      <c r="A299" s="151"/>
      <c r="B299" s="164" t="s">
        <v>312</v>
      </c>
      <c r="C299" s="165" t="s">
        <v>611</v>
      </c>
      <c r="D299" s="150" t="s">
        <v>246</v>
      </c>
      <c r="E299" s="150" t="s">
        <v>59</v>
      </c>
      <c r="F299" s="744" t="s">
        <v>59</v>
      </c>
      <c r="G299" s="745" t="s">
        <v>65</v>
      </c>
      <c r="H299" s="745" t="s">
        <v>59</v>
      </c>
      <c r="I299" s="746" t="s">
        <v>64</v>
      </c>
      <c r="J299" s="150"/>
      <c r="K299" s="698">
        <f>K311+K315+K319+K300+K305+K322+K308</f>
        <v>567796.1</v>
      </c>
      <c r="L299" s="166">
        <f>L311+L315+L319+L300+L305+L322+L308</f>
        <v>0</v>
      </c>
      <c r="M299" s="166">
        <f>M311+M315+M319+M300+M305+M322+M308</f>
        <v>567796.1</v>
      </c>
      <c r="N299" s="166">
        <f>N311+N315+N319+N300+N305+N322+N308</f>
        <v>561621.39999999991</v>
      </c>
    </row>
    <row r="300" spans="1:14" s="392" customFormat="1" ht="45" customHeight="1">
      <c r="A300" s="151"/>
      <c r="B300" s="304" t="s">
        <v>800</v>
      </c>
      <c r="C300" s="165" t="s">
        <v>611</v>
      </c>
      <c r="D300" s="150" t="s">
        <v>246</v>
      </c>
      <c r="E300" s="150" t="s">
        <v>59</v>
      </c>
      <c r="F300" s="744" t="s">
        <v>59</v>
      </c>
      <c r="G300" s="745" t="s">
        <v>65</v>
      </c>
      <c r="H300" s="745" t="s">
        <v>59</v>
      </c>
      <c r="I300" s="746" t="s">
        <v>112</v>
      </c>
      <c r="J300" s="150"/>
      <c r="K300" s="698">
        <f>K303+K304+K302+K301</f>
        <v>59981.899999999994</v>
      </c>
      <c r="L300" s="166">
        <f>L303+L304+L302+L301</f>
        <v>0</v>
      </c>
      <c r="M300" s="166">
        <f>M303+M304+M302+M301</f>
        <v>59981.899999999994</v>
      </c>
      <c r="N300" s="166">
        <f>N303+N304+N302+N301</f>
        <v>59681.7</v>
      </c>
    </row>
    <row r="301" spans="1:14" s="392" customFormat="1" ht="112.5">
      <c r="A301" s="151"/>
      <c r="B301" s="164" t="s">
        <v>69</v>
      </c>
      <c r="C301" s="165" t="s">
        <v>611</v>
      </c>
      <c r="D301" s="150" t="s">
        <v>246</v>
      </c>
      <c r="E301" s="150" t="s">
        <v>59</v>
      </c>
      <c r="F301" s="744" t="s">
        <v>59</v>
      </c>
      <c r="G301" s="745" t="s">
        <v>65</v>
      </c>
      <c r="H301" s="745" t="s">
        <v>59</v>
      </c>
      <c r="I301" s="746" t="s">
        <v>112</v>
      </c>
      <c r="J301" s="150" t="s">
        <v>70</v>
      </c>
      <c r="K301" s="698">
        <v>899.4</v>
      </c>
      <c r="L301" s="166">
        <f>M301-K301</f>
        <v>0</v>
      </c>
      <c r="M301" s="166">
        <v>899.4</v>
      </c>
      <c r="N301" s="166">
        <v>899.4</v>
      </c>
    </row>
    <row r="302" spans="1:14" s="392" customFormat="1" ht="56.25">
      <c r="A302" s="151"/>
      <c r="B302" s="164" t="s">
        <v>75</v>
      </c>
      <c r="C302" s="165" t="s">
        <v>611</v>
      </c>
      <c r="D302" s="150" t="s">
        <v>246</v>
      </c>
      <c r="E302" s="150" t="s">
        <v>59</v>
      </c>
      <c r="F302" s="744" t="s">
        <v>59</v>
      </c>
      <c r="G302" s="745" t="s">
        <v>65</v>
      </c>
      <c r="H302" s="745" t="s">
        <v>59</v>
      </c>
      <c r="I302" s="746" t="s">
        <v>112</v>
      </c>
      <c r="J302" s="150" t="s">
        <v>76</v>
      </c>
      <c r="K302" s="698">
        <v>3918.2</v>
      </c>
      <c r="L302" s="166">
        <f>M302-K302</f>
        <v>0</v>
      </c>
      <c r="M302" s="166">
        <v>3918.2</v>
      </c>
      <c r="N302" s="166">
        <v>3924.6</v>
      </c>
    </row>
    <row r="303" spans="1:14" s="392" customFormat="1" ht="56.25">
      <c r="A303" s="151"/>
      <c r="B303" s="164" t="s">
        <v>97</v>
      </c>
      <c r="C303" s="165" t="s">
        <v>611</v>
      </c>
      <c r="D303" s="150" t="s">
        <v>246</v>
      </c>
      <c r="E303" s="150" t="s">
        <v>59</v>
      </c>
      <c r="F303" s="744" t="s">
        <v>59</v>
      </c>
      <c r="G303" s="745" t="s">
        <v>65</v>
      </c>
      <c r="H303" s="745" t="s">
        <v>59</v>
      </c>
      <c r="I303" s="746" t="s">
        <v>112</v>
      </c>
      <c r="J303" s="150" t="s">
        <v>98</v>
      </c>
      <c r="K303" s="698">
        <f>54476.6+69.7</f>
        <v>54546.299999999996</v>
      </c>
      <c r="L303" s="166">
        <f>M303-K303</f>
        <v>0</v>
      </c>
      <c r="M303" s="166">
        <f>54476.6+69.7</f>
        <v>54546.299999999996</v>
      </c>
      <c r="N303" s="166">
        <f>55945.7-1695.1</f>
        <v>54250.6</v>
      </c>
    </row>
    <row r="304" spans="1:14" s="392" customFormat="1" ht="18.75">
      <c r="A304" s="151"/>
      <c r="B304" s="164" t="s">
        <v>77</v>
      </c>
      <c r="C304" s="165" t="s">
        <v>611</v>
      </c>
      <c r="D304" s="150" t="s">
        <v>246</v>
      </c>
      <c r="E304" s="150" t="s">
        <v>59</v>
      </c>
      <c r="F304" s="744" t="s">
        <v>59</v>
      </c>
      <c r="G304" s="745" t="s">
        <v>65</v>
      </c>
      <c r="H304" s="745" t="s">
        <v>59</v>
      </c>
      <c r="I304" s="746" t="s">
        <v>112</v>
      </c>
      <c r="J304" s="150" t="s">
        <v>78</v>
      </c>
      <c r="K304" s="698">
        <v>618</v>
      </c>
      <c r="L304" s="166">
        <f>M304-K304</f>
        <v>0</v>
      </c>
      <c r="M304" s="166">
        <v>618</v>
      </c>
      <c r="N304" s="166">
        <v>607.1</v>
      </c>
    </row>
    <row r="305" spans="1:14" s="392" customFormat="1" ht="37.5">
      <c r="A305" s="151"/>
      <c r="B305" s="164" t="s">
        <v>230</v>
      </c>
      <c r="C305" s="165" t="s">
        <v>611</v>
      </c>
      <c r="D305" s="150" t="s">
        <v>246</v>
      </c>
      <c r="E305" s="150" t="s">
        <v>59</v>
      </c>
      <c r="F305" s="744" t="s">
        <v>59</v>
      </c>
      <c r="G305" s="745" t="s">
        <v>65</v>
      </c>
      <c r="H305" s="745" t="s">
        <v>59</v>
      </c>
      <c r="I305" s="746" t="s">
        <v>314</v>
      </c>
      <c r="J305" s="150"/>
      <c r="K305" s="698">
        <f>K306+K307</f>
        <v>4527.3999999999996</v>
      </c>
      <c r="L305" s="166">
        <f>L306+L307</f>
        <v>0</v>
      </c>
      <c r="M305" s="166">
        <f>M306+M307</f>
        <v>4527.3999999999996</v>
      </c>
      <c r="N305" s="166">
        <f>N306+N307</f>
        <v>0</v>
      </c>
    </row>
    <row r="306" spans="1:14" s="392" customFormat="1" ht="56.25">
      <c r="A306" s="151"/>
      <c r="B306" s="164" t="s">
        <v>75</v>
      </c>
      <c r="C306" s="165" t="s">
        <v>611</v>
      </c>
      <c r="D306" s="150" t="s">
        <v>246</v>
      </c>
      <c r="E306" s="150" t="s">
        <v>59</v>
      </c>
      <c r="F306" s="744" t="s">
        <v>59</v>
      </c>
      <c r="G306" s="745" t="s">
        <v>65</v>
      </c>
      <c r="H306" s="745" t="s">
        <v>59</v>
      </c>
      <c r="I306" s="746" t="s">
        <v>314</v>
      </c>
      <c r="J306" s="150" t="s">
        <v>76</v>
      </c>
      <c r="K306" s="698">
        <v>178</v>
      </c>
      <c r="L306" s="166">
        <f>M306-K306</f>
        <v>0</v>
      </c>
      <c r="M306" s="166">
        <v>178</v>
      </c>
      <c r="N306" s="166">
        <v>0</v>
      </c>
    </row>
    <row r="307" spans="1:14" s="392" customFormat="1" ht="56.25">
      <c r="A307" s="151"/>
      <c r="B307" s="164" t="s">
        <v>97</v>
      </c>
      <c r="C307" s="165" t="s">
        <v>611</v>
      </c>
      <c r="D307" s="150" t="s">
        <v>246</v>
      </c>
      <c r="E307" s="150" t="s">
        <v>59</v>
      </c>
      <c r="F307" s="744" t="s">
        <v>59</v>
      </c>
      <c r="G307" s="745" t="s">
        <v>65</v>
      </c>
      <c r="H307" s="745" t="s">
        <v>59</v>
      </c>
      <c r="I307" s="746" t="s">
        <v>314</v>
      </c>
      <c r="J307" s="150" t="s">
        <v>98</v>
      </c>
      <c r="K307" s="698">
        <v>4349.3999999999996</v>
      </c>
      <c r="L307" s="166">
        <f>M307-K307</f>
        <v>0</v>
      </c>
      <c r="M307" s="166">
        <v>4349.3999999999996</v>
      </c>
      <c r="N307" s="166">
        <v>0</v>
      </c>
    </row>
    <row r="308" spans="1:14" s="392" customFormat="1" ht="93.75">
      <c r="A308" s="151"/>
      <c r="B308" s="164" t="s">
        <v>897</v>
      </c>
      <c r="C308" s="165" t="s">
        <v>611</v>
      </c>
      <c r="D308" s="150" t="s">
        <v>246</v>
      </c>
      <c r="E308" s="150" t="s">
        <v>59</v>
      </c>
      <c r="F308" s="744" t="s">
        <v>59</v>
      </c>
      <c r="G308" s="745" t="s">
        <v>65</v>
      </c>
      <c r="H308" s="745" t="s">
        <v>59</v>
      </c>
      <c r="I308" s="746" t="s">
        <v>896</v>
      </c>
      <c r="J308" s="150"/>
      <c r="K308" s="698">
        <f>K309+K310</f>
        <v>36560.199999999997</v>
      </c>
      <c r="L308" s="166">
        <f>L309+L310</f>
        <v>0</v>
      </c>
      <c r="M308" s="166">
        <f>M309+M310</f>
        <v>36560.199999999997</v>
      </c>
      <c r="N308" s="166">
        <f>N309+N310</f>
        <v>36560.199999999997</v>
      </c>
    </row>
    <row r="309" spans="1:14" s="392" customFormat="1" ht="112.5">
      <c r="A309" s="151"/>
      <c r="B309" s="164" t="s">
        <v>69</v>
      </c>
      <c r="C309" s="165" t="s">
        <v>611</v>
      </c>
      <c r="D309" s="150" t="s">
        <v>246</v>
      </c>
      <c r="E309" s="150" t="s">
        <v>59</v>
      </c>
      <c r="F309" s="744" t="s">
        <v>59</v>
      </c>
      <c r="G309" s="745" t="s">
        <v>65</v>
      </c>
      <c r="H309" s="745" t="s">
        <v>59</v>
      </c>
      <c r="I309" s="746" t="s">
        <v>896</v>
      </c>
      <c r="J309" s="150" t="s">
        <v>70</v>
      </c>
      <c r="K309" s="698">
        <v>2968.6</v>
      </c>
      <c r="L309" s="166">
        <f>M309-K309</f>
        <v>0</v>
      </c>
      <c r="M309" s="166">
        <v>2968.6</v>
      </c>
      <c r="N309" s="166">
        <v>2968.6</v>
      </c>
    </row>
    <row r="310" spans="1:14" s="392" customFormat="1" ht="56.25">
      <c r="A310" s="151"/>
      <c r="B310" s="164" t="s">
        <v>97</v>
      </c>
      <c r="C310" s="165" t="s">
        <v>611</v>
      </c>
      <c r="D310" s="150" t="s">
        <v>246</v>
      </c>
      <c r="E310" s="150" t="s">
        <v>59</v>
      </c>
      <c r="F310" s="744" t="s">
        <v>59</v>
      </c>
      <c r="G310" s="745" t="s">
        <v>65</v>
      </c>
      <c r="H310" s="745" t="s">
        <v>59</v>
      </c>
      <c r="I310" s="746" t="s">
        <v>896</v>
      </c>
      <c r="J310" s="150" t="s">
        <v>98</v>
      </c>
      <c r="K310" s="698">
        <v>33591.599999999999</v>
      </c>
      <c r="L310" s="166">
        <f>M310-K310</f>
        <v>0</v>
      </c>
      <c r="M310" s="166">
        <v>33591.599999999999</v>
      </c>
      <c r="N310" s="166">
        <v>33591.599999999999</v>
      </c>
    </row>
    <row r="311" spans="1:14" s="396" customFormat="1" ht="190.5" customHeight="1">
      <c r="A311" s="151"/>
      <c r="B311" s="164" t="s">
        <v>308</v>
      </c>
      <c r="C311" s="165" t="s">
        <v>611</v>
      </c>
      <c r="D311" s="150" t="s">
        <v>246</v>
      </c>
      <c r="E311" s="150" t="s">
        <v>59</v>
      </c>
      <c r="F311" s="744" t="s">
        <v>59</v>
      </c>
      <c r="G311" s="745" t="s">
        <v>65</v>
      </c>
      <c r="H311" s="745" t="s">
        <v>59</v>
      </c>
      <c r="I311" s="746" t="s">
        <v>309</v>
      </c>
      <c r="J311" s="150"/>
      <c r="K311" s="698">
        <f>SUM(K312:K314)</f>
        <v>1632.2</v>
      </c>
      <c r="L311" s="166">
        <f>SUM(L312:L314)</f>
        <v>0</v>
      </c>
      <c r="M311" s="166">
        <f>SUM(M312:M314)</f>
        <v>1632.2</v>
      </c>
      <c r="N311" s="166">
        <f>SUM(N312:N314)</f>
        <v>1689.1000000000001</v>
      </c>
    </row>
    <row r="312" spans="1:14" s="396" customFormat="1" ht="112.5">
      <c r="A312" s="151"/>
      <c r="B312" s="164" t="s">
        <v>69</v>
      </c>
      <c r="C312" s="165" t="s">
        <v>611</v>
      </c>
      <c r="D312" s="150" t="s">
        <v>246</v>
      </c>
      <c r="E312" s="150" t="s">
        <v>59</v>
      </c>
      <c r="F312" s="744" t="s">
        <v>59</v>
      </c>
      <c r="G312" s="745" t="s">
        <v>65</v>
      </c>
      <c r="H312" s="745" t="s">
        <v>59</v>
      </c>
      <c r="I312" s="746" t="s">
        <v>309</v>
      </c>
      <c r="J312" s="150" t="s">
        <v>70</v>
      </c>
      <c r="K312" s="698">
        <v>115.8</v>
      </c>
      <c r="L312" s="166">
        <f>M312-K312</f>
        <v>0</v>
      </c>
      <c r="M312" s="166">
        <v>115.8</v>
      </c>
      <c r="N312" s="166">
        <v>115.8</v>
      </c>
    </row>
    <row r="313" spans="1:14" s="396" customFormat="1" ht="37.5">
      <c r="A313" s="151"/>
      <c r="B313" s="164" t="s">
        <v>141</v>
      </c>
      <c r="C313" s="165" t="s">
        <v>611</v>
      </c>
      <c r="D313" s="150" t="s">
        <v>246</v>
      </c>
      <c r="E313" s="150" t="s">
        <v>59</v>
      </c>
      <c r="F313" s="744" t="s">
        <v>59</v>
      </c>
      <c r="G313" s="745" t="s">
        <v>65</v>
      </c>
      <c r="H313" s="745" t="s">
        <v>59</v>
      </c>
      <c r="I313" s="746" t="s">
        <v>309</v>
      </c>
      <c r="J313" s="150" t="s">
        <v>142</v>
      </c>
      <c r="K313" s="698">
        <v>13.9</v>
      </c>
      <c r="L313" s="166">
        <f>M313-K313</f>
        <v>0</v>
      </c>
      <c r="M313" s="166">
        <v>13.9</v>
      </c>
      <c r="N313" s="166">
        <v>13.9</v>
      </c>
    </row>
    <row r="314" spans="1:14" s="396" customFormat="1" ht="56.25">
      <c r="A314" s="151"/>
      <c r="B314" s="164" t="s">
        <v>97</v>
      </c>
      <c r="C314" s="165" t="s">
        <v>611</v>
      </c>
      <c r="D314" s="150" t="s">
        <v>246</v>
      </c>
      <c r="E314" s="150" t="s">
        <v>59</v>
      </c>
      <c r="F314" s="744" t="s">
        <v>59</v>
      </c>
      <c r="G314" s="745" t="s">
        <v>65</v>
      </c>
      <c r="H314" s="745" t="s">
        <v>59</v>
      </c>
      <c r="I314" s="746" t="s">
        <v>309</v>
      </c>
      <c r="J314" s="150" t="s">
        <v>98</v>
      </c>
      <c r="K314" s="698">
        <v>1502.5</v>
      </c>
      <c r="L314" s="166">
        <f>M314-K314</f>
        <v>0</v>
      </c>
      <c r="M314" s="166">
        <v>1502.5</v>
      </c>
      <c r="N314" s="166">
        <v>1559.4</v>
      </c>
    </row>
    <row r="315" spans="1:14" s="396" customFormat="1" ht="118.5" customHeight="1">
      <c r="A315" s="151"/>
      <c r="B315" s="164" t="s">
        <v>415</v>
      </c>
      <c r="C315" s="165" t="s">
        <v>611</v>
      </c>
      <c r="D315" s="150" t="s">
        <v>246</v>
      </c>
      <c r="E315" s="150" t="s">
        <v>59</v>
      </c>
      <c r="F315" s="744" t="s">
        <v>59</v>
      </c>
      <c r="G315" s="745" t="s">
        <v>65</v>
      </c>
      <c r="H315" s="745" t="s">
        <v>59</v>
      </c>
      <c r="I315" s="746" t="s">
        <v>310</v>
      </c>
      <c r="J315" s="150"/>
      <c r="K315" s="698">
        <f>K316+K317+K318</f>
        <v>404790.7</v>
      </c>
      <c r="L315" s="166">
        <f>L316+L317+L318</f>
        <v>0</v>
      </c>
      <c r="M315" s="166">
        <f>M316+M317+M318</f>
        <v>404790.7</v>
      </c>
      <c r="N315" s="166">
        <f>N316+N317+N318</f>
        <v>404790.7</v>
      </c>
    </row>
    <row r="316" spans="1:14" s="396" customFormat="1" ht="112.5">
      <c r="A316" s="151"/>
      <c r="B316" s="164" t="s">
        <v>69</v>
      </c>
      <c r="C316" s="165" t="s">
        <v>611</v>
      </c>
      <c r="D316" s="150" t="s">
        <v>246</v>
      </c>
      <c r="E316" s="150" t="s">
        <v>59</v>
      </c>
      <c r="F316" s="744" t="s">
        <v>59</v>
      </c>
      <c r="G316" s="745" t="s">
        <v>65</v>
      </c>
      <c r="H316" s="745" t="s">
        <v>59</v>
      </c>
      <c r="I316" s="746" t="s">
        <v>310</v>
      </c>
      <c r="J316" s="150" t="s">
        <v>70</v>
      </c>
      <c r="K316" s="698">
        <v>27962</v>
      </c>
      <c r="L316" s="166">
        <f>M316-K316</f>
        <v>0</v>
      </c>
      <c r="M316" s="166">
        <v>27962</v>
      </c>
      <c r="N316" s="166">
        <v>27962</v>
      </c>
    </row>
    <row r="317" spans="1:14" s="396" customFormat="1" ht="56.25">
      <c r="A317" s="151"/>
      <c r="B317" s="164" t="s">
        <v>75</v>
      </c>
      <c r="C317" s="165" t="s">
        <v>611</v>
      </c>
      <c r="D317" s="150" t="s">
        <v>246</v>
      </c>
      <c r="E317" s="150" t="s">
        <v>59</v>
      </c>
      <c r="F317" s="744" t="s">
        <v>59</v>
      </c>
      <c r="G317" s="745" t="s">
        <v>65</v>
      </c>
      <c r="H317" s="745" t="s">
        <v>59</v>
      </c>
      <c r="I317" s="746" t="s">
        <v>310</v>
      </c>
      <c r="J317" s="150" t="s">
        <v>76</v>
      </c>
      <c r="K317" s="698">
        <v>1898.4</v>
      </c>
      <c r="L317" s="166">
        <f>M317-K317</f>
        <v>0</v>
      </c>
      <c r="M317" s="166">
        <v>1898.4</v>
      </c>
      <c r="N317" s="166">
        <v>1898.4</v>
      </c>
    </row>
    <row r="318" spans="1:14" s="396" customFormat="1" ht="56.25">
      <c r="A318" s="151"/>
      <c r="B318" s="164" t="s">
        <v>97</v>
      </c>
      <c r="C318" s="165" t="s">
        <v>611</v>
      </c>
      <c r="D318" s="150" t="s">
        <v>246</v>
      </c>
      <c r="E318" s="150" t="s">
        <v>59</v>
      </c>
      <c r="F318" s="744" t="s">
        <v>59</v>
      </c>
      <c r="G318" s="745" t="s">
        <v>65</v>
      </c>
      <c r="H318" s="745" t="s">
        <v>59</v>
      </c>
      <c r="I318" s="746" t="s">
        <v>310</v>
      </c>
      <c r="J318" s="150" t="s">
        <v>98</v>
      </c>
      <c r="K318" s="698">
        <v>374930.3</v>
      </c>
      <c r="L318" s="166">
        <f>M318-K318</f>
        <v>0</v>
      </c>
      <c r="M318" s="166">
        <v>374930.3</v>
      </c>
      <c r="N318" s="166">
        <f>M318</f>
        <v>374930.3</v>
      </c>
    </row>
    <row r="319" spans="1:14" s="392" customFormat="1" ht="93.75">
      <c r="A319" s="151"/>
      <c r="B319" s="164" t="s">
        <v>231</v>
      </c>
      <c r="C319" s="165" t="s">
        <v>611</v>
      </c>
      <c r="D319" s="150" t="s">
        <v>246</v>
      </c>
      <c r="E319" s="150" t="s">
        <v>59</v>
      </c>
      <c r="F319" s="744" t="s">
        <v>59</v>
      </c>
      <c r="G319" s="745" t="s">
        <v>65</v>
      </c>
      <c r="H319" s="745" t="s">
        <v>59</v>
      </c>
      <c r="I319" s="746" t="s">
        <v>315</v>
      </c>
      <c r="J319" s="150"/>
      <c r="K319" s="698">
        <f t="shared" ref="K319" si="50">SUM(K320:K321)</f>
        <v>2399</v>
      </c>
      <c r="L319" s="166">
        <f t="shared" ref="L319" si="51">SUM(L320:L321)</f>
        <v>0</v>
      </c>
      <c r="M319" s="166">
        <f t="shared" ref="M319:N319" si="52">SUM(M320:M321)</f>
        <v>2399</v>
      </c>
      <c r="N319" s="166">
        <f t="shared" si="52"/>
        <v>2399</v>
      </c>
    </row>
    <row r="320" spans="1:14" s="392" customFormat="1" ht="56.25">
      <c r="A320" s="151"/>
      <c r="B320" s="164" t="s">
        <v>75</v>
      </c>
      <c r="C320" s="165" t="s">
        <v>611</v>
      </c>
      <c r="D320" s="150" t="s">
        <v>246</v>
      </c>
      <c r="E320" s="150" t="s">
        <v>59</v>
      </c>
      <c r="F320" s="744" t="s">
        <v>59</v>
      </c>
      <c r="G320" s="745" t="s">
        <v>65</v>
      </c>
      <c r="H320" s="745" t="s">
        <v>59</v>
      </c>
      <c r="I320" s="746" t="s">
        <v>315</v>
      </c>
      <c r="J320" s="150" t="s">
        <v>76</v>
      </c>
      <c r="K320" s="698">
        <v>104.8</v>
      </c>
      <c r="L320" s="166">
        <f>M320-K320</f>
        <v>0</v>
      </c>
      <c r="M320" s="166">
        <v>104.8</v>
      </c>
      <c r="N320" s="166">
        <v>104.8</v>
      </c>
    </row>
    <row r="321" spans="1:17" s="392" customFormat="1" ht="56.25">
      <c r="A321" s="151"/>
      <c r="B321" s="164" t="s">
        <v>97</v>
      </c>
      <c r="C321" s="165" t="s">
        <v>611</v>
      </c>
      <c r="D321" s="150" t="s">
        <v>246</v>
      </c>
      <c r="E321" s="150" t="s">
        <v>59</v>
      </c>
      <c r="F321" s="744" t="s">
        <v>59</v>
      </c>
      <c r="G321" s="745" t="s">
        <v>65</v>
      </c>
      <c r="H321" s="745" t="s">
        <v>59</v>
      </c>
      <c r="I321" s="746" t="s">
        <v>315</v>
      </c>
      <c r="J321" s="150" t="s">
        <v>98</v>
      </c>
      <c r="K321" s="698">
        <v>2294.1999999999998</v>
      </c>
      <c r="L321" s="166">
        <f>M321-K321</f>
        <v>0</v>
      </c>
      <c r="M321" s="166">
        <v>2294.1999999999998</v>
      </c>
      <c r="N321" s="166">
        <v>2294.1999999999998</v>
      </c>
    </row>
    <row r="322" spans="1:17" s="392" customFormat="1" ht="72.75" customHeight="1">
      <c r="A322" s="151"/>
      <c r="B322" s="164" t="s">
        <v>768</v>
      </c>
      <c r="C322" s="165" t="s">
        <v>611</v>
      </c>
      <c r="D322" s="150" t="s">
        <v>246</v>
      </c>
      <c r="E322" s="150" t="s">
        <v>59</v>
      </c>
      <c r="F322" s="744" t="s">
        <v>59</v>
      </c>
      <c r="G322" s="745" t="s">
        <v>65</v>
      </c>
      <c r="H322" s="745" t="s">
        <v>59</v>
      </c>
      <c r="I322" s="746" t="s">
        <v>767</v>
      </c>
      <c r="J322" s="150"/>
      <c r="K322" s="698">
        <f>K323+K324</f>
        <v>57904.700000000004</v>
      </c>
      <c r="L322" s="166">
        <f>L323+L324</f>
        <v>0</v>
      </c>
      <c r="M322" s="166">
        <f>M323+M324</f>
        <v>57904.700000000004</v>
      </c>
      <c r="N322" s="166">
        <f>N323+N324</f>
        <v>56500.7</v>
      </c>
    </row>
    <row r="323" spans="1:17" s="392" customFormat="1" ht="56.25">
      <c r="A323" s="151"/>
      <c r="B323" s="164" t="s">
        <v>75</v>
      </c>
      <c r="C323" s="165" t="s">
        <v>611</v>
      </c>
      <c r="D323" s="150" t="s">
        <v>246</v>
      </c>
      <c r="E323" s="150" t="s">
        <v>59</v>
      </c>
      <c r="F323" s="744" t="s">
        <v>59</v>
      </c>
      <c r="G323" s="745" t="s">
        <v>65</v>
      </c>
      <c r="H323" s="745" t="s">
        <v>59</v>
      </c>
      <c r="I323" s="746" t="s">
        <v>767</v>
      </c>
      <c r="J323" s="150" t="s">
        <v>76</v>
      </c>
      <c r="K323" s="698">
        <v>1715.9</v>
      </c>
      <c r="L323" s="166">
        <f>M323-K323</f>
        <v>0</v>
      </c>
      <c r="M323" s="166">
        <v>1715.9</v>
      </c>
      <c r="N323" s="166">
        <v>1674.2</v>
      </c>
    </row>
    <row r="324" spans="1:17" s="392" customFormat="1" ht="56.25">
      <c r="A324" s="151"/>
      <c r="B324" s="164" t="s">
        <v>97</v>
      </c>
      <c r="C324" s="165" t="s">
        <v>611</v>
      </c>
      <c r="D324" s="150" t="s">
        <v>246</v>
      </c>
      <c r="E324" s="150" t="s">
        <v>59</v>
      </c>
      <c r="F324" s="744" t="s">
        <v>59</v>
      </c>
      <c r="G324" s="745" t="s">
        <v>65</v>
      </c>
      <c r="H324" s="745" t="s">
        <v>59</v>
      </c>
      <c r="I324" s="746" t="s">
        <v>767</v>
      </c>
      <c r="J324" s="150" t="s">
        <v>98</v>
      </c>
      <c r="K324" s="698">
        <v>56188.800000000003</v>
      </c>
      <c r="L324" s="166">
        <f>M324-K324</f>
        <v>0</v>
      </c>
      <c r="M324" s="166">
        <v>56188.800000000003</v>
      </c>
      <c r="N324" s="166">
        <v>54826.5</v>
      </c>
      <c r="Q324" s="480"/>
    </row>
    <row r="325" spans="1:17" s="396" customFormat="1" ht="56.25">
      <c r="A325" s="151"/>
      <c r="B325" s="164" t="s">
        <v>234</v>
      </c>
      <c r="C325" s="165" t="s">
        <v>611</v>
      </c>
      <c r="D325" s="150" t="s">
        <v>246</v>
      </c>
      <c r="E325" s="150" t="s">
        <v>59</v>
      </c>
      <c r="F325" s="744" t="s">
        <v>59</v>
      </c>
      <c r="G325" s="745" t="s">
        <v>50</v>
      </c>
      <c r="H325" s="745" t="s">
        <v>63</v>
      </c>
      <c r="I325" s="746" t="s">
        <v>64</v>
      </c>
      <c r="J325" s="150"/>
      <c r="K325" s="698">
        <f t="shared" ref="K325:N326" si="53">K326</f>
        <v>2358</v>
      </c>
      <c r="L325" s="166">
        <f t="shared" si="53"/>
        <v>0</v>
      </c>
      <c r="M325" s="166">
        <f t="shared" si="53"/>
        <v>2358</v>
      </c>
      <c r="N325" s="166">
        <f t="shared" si="53"/>
        <v>2358</v>
      </c>
    </row>
    <row r="326" spans="1:17" s="396" customFormat="1" ht="37.5">
      <c r="A326" s="151"/>
      <c r="B326" s="164" t="s">
        <v>322</v>
      </c>
      <c r="C326" s="165" t="s">
        <v>611</v>
      </c>
      <c r="D326" s="150" t="s">
        <v>246</v>
      </c>
      <c r="E326" s="150" t="s">
        <v>59</v>
      </c>
      <c r="F326" s="744" t="s">
        <v>59</v>
      </c>
      <c r="G326" s="745" t="s">
        <v>50</v>
      </c>
      <c r="H326" s="745" t="s">
        <v>57</v>
      </c>
      <c r="I326" s="746" t="s">
        <v>64</v>
      </c>
      <c r="J326" s="150"/>
      <c r="K326" s="698">
        <f t="shared" si="53"/>
        <v>2358</v>
      </c>
      <c r="L326" s="166">
        <f t="shared" si="53"/>
        <v>0</v>
      </c>
      <c r="M326" s="166">
        <f t="shared" si="53"/>
        <v>2358</v>
      </c>
      <c r="N326" s="166">
        <f t="shared" si="53"/>
        <v>2358</v>
      </c>
    </row>
    <row r="327" spans="1:17" s="396" customFormat="1" ht="208.5" customHeight="1">
      <c r="A327" s="151"/>
      <c r="B327" s="164" t="s">
        <v>695</v>
      </c>
      <c r="C327" s="165" t="s">
        <v>611</v>
      </c>
      <c r="D327" s="150" t="s">
        <v>246</v>
      </c>
      <c r="E327" s="150" t="s">
        <v>59</v>
      </c>
      <c r="F327" s="744" t="s">
        <v>59</v>
      </c>
      <c r="G327" s="745" t="s">
        <v>50</v>
      </c>
      <c r="H327" s="745" t="s">
        <v>57</v>
      </c>
      <c r="I327" s="746" t="s">
        <v>416</v>
      </c>
      <c r="J327" s="150"/>
      <c r="K327" s="698">
        <f>K329+K328</f>
        <v>2358</v>
      </c>
      <c r="L327" s="166">
        <f>L329+L328</f>
        <v>0</v>
      </c>
      <c r="M327" s="166">
        <f>M329+M328</f>
        <v>2358</v>
      </c>
      <c r="N327" s="166">
        <f>N329+N328</f>
        <v>2358</v>
      </c>
    </row>
    <row r="328" spans="1:17" s="396" customFormat="1" ht="112.5">
      <c r="A328" s="151"/>
      <c r="B328" s="164" t="s">
        <v>69</v>
      </c>
      <c r="C328" s="165" t="s">
        <v>611</v>
      </c>
      <c r="D328" s="150" t="s">
        <v>246</v>
      </c>
      <c r="E328" s="150" t="s">
        <v>59</v>
      </c>
      <c r="F328" s="744" t="s">
        <v>59</v>
      </c>
      <c r="G328" s="745" t="s">
        <v>50</v>
      </c>
      <c r="H328" s="745" t="s">
        <v>57</v>
      </c>
      <c r="I328" s="746" t="s">
        <v>416</v>
      </c>
      <c r="J328" s="150" t="s">
        <v>70</v>
      </c>
      <c r="K328" s="698">
        <v>29.8</v>
      </c>
      <c r="L328" s="166">
        <f>M328-K328</f>
        <v>0</v>
      </c>
      <c r="M328" s="166">
        <v>29.8</v>
      </c>
      <c r="N328" s="166">
        <v>29.8</v>
      </c>
    </row>
    <row r="329" spans="1:17" s="396" customFormat="1" ht="56.25">
      <c r="A329" s="151"/>
      <c r="B329" s="164" t="s">
        <v>97</v>
      </c>
      <c r="C329" s="165" t="s">
        <v>611</v>
      </c>
      <c r="D329" s="150" t="s">
        <v>246</v>
      </c>
      <c r="E329" s="150" t="s">
        <v>59</v>
      </c>
      <c r="F329" s="744" t="s">
        <v>59</v>
      </c>
      <c r="G329" s="745" t="s">
        <v>50</v>
      </c>
      <c r="H329" s="745" t="s">
        <v>57</v>
      </c>
      <c r="I329" s="746" t="s">
        <v>416</v>
      </c>
      <c r="J329" s="150" t="s">
        <v>98</v>
      </c>
      <c r="K329" s="698">
        <v>2328.1999999999998</v>
      </c>
      <c r="L329" s="166">
        <f>M329-K329</f>
        <v>0</v>
      </c>
      <c r="M329" s="166">
        <v>2328.1999999999998</v>
      </c>
      <c r="N329" s="166">
        <v>2328.1999999999998</v>
      </c>
    </row>
    <row r="330" spans="1:17" s="396" customFormat="1" ht="56.25" customHeight="1">
      <c r="A330" s="151"/>
      <c r="B330" s="164" t="s">
        <v>101</v>
      </c>
      <c r="C330" s="165" t="s">
        <v>611</v>
      </c>
      <c r="D330" s="150" t="s">
        <v>246</v>
      </c>
      <c r="E330" s="150" t="s">
        <v>59</v>
      </c>
      <c r="F330" s="744" t="s">
        <v>102</v>
      </c>
      <c r="G330" s="745" t="s">
        <v>62</v>
      </c>
      <c r="H330" s="745" t="s">
        <v>63</v>
      </c>
      <c r="I330" s="746" t="s">
        <v>64</v>
      </c>
      <c r="J330" s="150"/>
      <c r="K330" s="698">
        <f t="shared" ref="K330:N331" si="54">K331</f>
        <v>7254.2</v>
      </c>
      <c r="L330" s="166">
        <f t="shared" si="54"/>
        <v>0</v>
      </c>
      <c r="M330" s="166">
        <f t="shared" si="54"/>
        <v>7254.2</v>
      </c>
      <c r="N330" s="166">
        <f t="shared" si="54"/>
        <v>0</v>
      </c>
    </row>
    <row r="331" spans="1:17" s="396" customFormat="1" ht="37.5">
      <c r="A331" s="151"/>
      <c r="B331" s="164" t="s">
        <v>146</v>
      </c>
      <c r="C331" s="165" t="s">
        <v>611</v>
      </c>
      <c r="D331" s="150" t="s">
        <v>246</v>
      </c>
      <c r="E331" s="150" t="s">
        <v>59</v>
      </c>
      <c r="F331" s="744" t="s">
        <v>102</v>
      </c>
      <c r="G331" s="745" t="s">
        <v>110</v>
      </c>
      <c r="H331" s="745" t="s">
        <v>63</v>
      </c>
      <c r="I331" s="746" t="s">
        <v>64</v>
      </c>
      <c r="J331" s="150"/>
      <c r="K331" s="698">
        <f t="shared" si="54"/>
        <v>7254.2</v>
      </c>
      <c r="L331" s="166">
        <f t="shared" si="54"/>
        <v>0</v>
      </c>
      <c r="M331" s="166">
        <f t="shared" si="54"/>
        <v>7254.2</v>
      </c>
      <c r="N331" s="166">
        <f t="shared" si="54"/>
        <v>0</v>
      </c>
    </row>
    <row r="332" spans="1:17" s="396" customFormat="1" ht="39.75" customHeight="1">
      <c r="A332" s="151"/>
      <c r="B332" s="164" t="s">
        <v>311</v>
      </c>
      <c r="C332" s="165" t="s">
        <v>611</v>
      </c>
      <c r="D332" s="150" t="s">
        <v>246</v>
      </c>
      <c r="E332" s="150" t="s">
        <v>59</v>
      </c>
      <c r="F332" s="744" t="s">
        <v>102</v>
      </c>
      <c r="G332" s="745" t="s">
        <v>110</v>
      </c>
      <c r="H332" s="745" t="s">
        <v>57</v>
      </c>
      <c r="I332" s="746" t="s">
        <v>64</v>
      </c>
      <c r="J332" s="150"/>
      <c r="K332" s="698">
        <f>K333</f>
        <v>7254.2</v>
      </c>
      <c r="L332" s="166">
        <f>L333</f>
        <v>0</v>
      </c>
      <c r="M332" s="166">
        <f>M333</f>
        <v>7254.2</v>
      </c>
      <c r="N332" s="166">
        <f>N333</f>
        <v>0</v>
      </c>
    </row>
    <row r="333" spans="1:17" s="396" customFormat="1" ht="18.75">
      <c r="A333" s="151"/>
      <c r="B333" s="164" t="s">
        <v>686</v>
      </c>
      <c r="C333" s="165" t="s">
        <v>611</v>
      </c>
      <c r="D333" s="150" t="s">
        <v>246</v>
      </c>
      <c r="E333" s="150" t="s">
        <v>59</v>
      </c>
      <c r="F333" s="744" t="s">
        <v>102</v>
      </c>
      <c r="G333" s="745" t="s">
        <v>110</v>
      </c>
      <c r="H333" s="745" t="s">
        <v>57</v>
      </c>
      <c r="I333" s="746" t="s">
        <v>687</v>
      </c>
      <c r="J333" s="150"/>
      <c r="K333" s="698">
        <f>K335+K334</f>
        <v>7254.2</v>
      </c>
      <c r="L333" s="166">
        <f>L335+L334</f>
        <v>0</v>
      </c>
      <c r="M333" s="166">
        <f>M335+M334</f>
        <v>7254.2</v>
      </c>
      <c r="N333" s="166">
        <f>N335+N334</f>
        <v>0</v>
      </c>
    </row>
    <row r="334" spans="1:17" s="396" customFormat="1" ht="56.25">
      <c r="A334" s="151"/>
      <c r="B334" s="164" t="s">
        <v>75</v>
      </c>
      <c r="C334" s="165" t="s">
        <v>611</v>
      </c>
      <c r="D334" s="150" t="s">
        <v>246</v>
      </c>
      <c r="E334" s="150" t="s">
        <v>59</v>
      </c>
      <c r="F334" s="744" t="s">
        <v>102</v>
      </c>
      <c r="G334" s="745" t="s">
        <v>110</v>
      </c>
      <c r="H334" s="745" t="s">
        <v>57</v>
      </c>
      <c r="I334" s="746" t="s">
        <v>687</v>
      </c>
      <c r="J334" s="150" t="s">
        <v>76</v>
      </c>
      <c r="K334" s="698">
        <v>905.2</v>
      </c>
      <c r="L334" s="166">
        <f>M334-K334</f>
        <v>0</v>
      </c>
      <c r="M334" s="166">
        <v>905.2</v>
      </c>
      <c r="N334" s="166">
        <v>0</v>
      </c>
    </row>
    <row r="335" spans="1:17" s="396" customFormat="1" ht="56.25">
      <c r="A335" s="151"/>
      <c r="B335" s="164" t="s">
        <v>97</v>
      </c>
      <c r="C335" s="165" t="s">
        <v>611</v>
      </c>
      <c r="D335" s="150" t="s">
        <v>246</v>
      </c>
      <c r="E335" s="150" t="s">
        <v>59</v>
      </c>
      <c r="F335" s="744" t="s">
        <v>102</v>
      </c>
      <c r="G335" s="745" t="s">
        <v>110</v>
      </c>
      <c r="H335" s="745" t="s">
        <v>57</v>
      </c>
      <c r="I335" s="746" t="s">
        <v>687</v>
      </c>
      <c r="J335" s="150" t="s">
        <v>98</v>
      </c>
      <c r="K335" s="698">
        <v>6349</v>
      </c>
      <c r="L335" s="166">
        <f>M335-K335</f>
        <v>0</v>
      </c>
      <c r="M335" s="166">
        <v>6349</v>
      </c>
      <c r="N335" s="166">
        <v>0</v>
      </c>
    </row>
    <row r="336" spans="1:17" s="396" customFormat="1" ht="18.75">
      <c r="A336" s="151"/>
      <c r="B336" s="164" t="s">
        <v>424</v>
      </c>
      <c r="C336" s="165" t="s">
        <v>611</v>
      </c>
      <c r="D336" s="150" t="s">
        <v>246</v>
      </c>
      <c r="E336" s="150" t="s">
        <v>84</v>
      </c>
      <c r="F336" s="744"/>
      <c r="G336" s="745"/>
      <c r="H336" s="745"/>
      <c r="I336" s="746"/>
      <c r="J336" s="150"/>
      <c r="K336" s="698" t="e">
        <f>K337+K351</f>
        <v>#REF!</v>
      </c>
      <c r="L336" s="166">
        <f>L337+L351</f>
        <v>0</v>
      </c>
      <c r="M336" s="166">
        <f>M337+M351</f>
        <v>55983.000000000007</v>
      </c>
      <c r="N336" s="166">
        <f>N337+N351</f>
        <v>56618.600000000006</v>
      </c>
    </row>
    <row r="337" spans="1:14" s="396" customFormat="1" ht="56.25">
      <c r="A337" s="151"/>
      <c r="B337" s="312" t="s">
        <v>227</v>
      </c>
      <c r="C337" s="165" t="s">
        <v>611</v>
      </c>
      <c r="D337" s="150" t="s">
        <v>246</v>
      </c>
      <c r="E337" s="150" t="s">
        <v>84</v>
      </c>
      <c r="F337" s="744" t="s">
        <v>59</v>
      </c>
      <c r="G337" s="745" t="s">
        <v>62</v>
      </c>
      <c r="H337" s="745" t="s">
        <v>63</v>
      </c>
      <c r="I337" s="746" t="s">
        <v>64</v>
      </c>
      <c r="J337" s="150"/>
      <c r="K337" s="698" t="e">
        <f t="shared" ref="K337:N337" si="55">K338</f>
        <v>#REF!</v>
      </c>
      <c r="L337" s="166">
        <f t="shared" si="55"/>
        <v>0</v>
      </c>
      <c r="M337" s="166">
        <f t="shared" si="55"/>
        <v>55983.000000000007</v>
      </c>
      <c r="N337" s="166">
        <f t="shared" si="55"/>
        <v>56047.000000000007</v>
      </c>
    </row>
    <row r="338" spans="1:14" s="396" customFormat="1" ht="24.75" customHeight="1">
      <c r="A338" s="151"/>
      <c r="B338" s="164" t="s">
        <v>232</v>
      </c>
      <c r="C338" s="165" t="s">
        <v>611</v>
      </c>
      <c r="D338" s="150" t="s">
        <v>246</v>
      </c>
      <c r="E338" s="150" t="s">
        <v>84</v>
      </c>
      <c r="F338" s="744" t="s">
        <v>59</v>
      </c>
      <c r="G338" s="745" t="s">
        <v>110</v>
      </c>
      <c r="H338" s="745" t="s">
        <v>63</v>
      </c>
      <c r="I338" s="746" t="s">
        <v>64</v>
      </c>
      <c r="J338" s="150"/>
      <c r="K338" s="698" t="e">
        <f>K339</f>
        <v>#REF!</v>
      </c>
      <c r="L338" s="166">
        <f>L339</f>
        <v>0</v>
      </c>
      <c r="M338" s="166">
        <f>M339</f>
        <v>55983.000000000007</v>
      </c>
      <c r="N338" s="166">
        <f>N339</f>
        <v>56047.000000000007</v>
      </c>
    </row>
    <row r="339" spans="1:14" s="396" customFormat="1" ht="37.5">
      <c r="A339" s="151"/>
      <c r="B339" s="164" t="s">
        <v>316</v>
      </c>
      <c r="C339" s="165" t="s">
        <v>611</v>
      </c>
      <c r="D339" s="150" t="s">
        <v>246</v>
      </c>
      <c r="E339" s="150" t="s">
        <v>84</v>
      </c>
      <c r="F339" s="744" t="s">
        <v>59</v>
      </c>
      <c r="G339" s="745" t="s">
        <v>110</v>
      </c>
      <c r="H339" s="745" t="s">
        <v>57</v>
      </c>
      <c r="I339" s="746" t="s">
        <v>64</v>
      </c>
      <c r="J339" s="150"/>
      <c r="K339" s="698" t="e">
        <f>K340+K345+K347+K349</f>
        <v>#REF!</v>
      </c>
      <c r="L339" s="166">
        <f>L340+L345+L347+L349</f>
        <v>0</v>
      </c>
      <c r="M339" s="166">
        <f>M340+M345+M347+M349</f>
        <v>55983.000000000007</v>
      </c>
      <c r="N339" s="166">
        <f>N340+N345+N347+N349</f>
        <v>56047.000000000007</v>
      </c>
    </row>
    <row r="340" spans="1:14" s="396" customFormat="1" ht="40.5" customHeight="1">
      <c r="A340" s="151"/>
      <c r="B340" s="304" t="s">
        <v>800</v>
      </c>
      <c r="C340" s="165" t="s">
        <v>611</v>
      </c>
      <c r="D340" s="150" t="s">
        <v>246</v>
      </c>
      <c r="E340" s="150" t="s">
        <v>84</v>
      </c>
      <c r="F340" s="744" t="s">
        <v>59</v>
      </c>
      <c r="G340" s="745" t="s">
        <v>110</v>
      </c>
      <c r="H340" s="745" t="s">
        <v>57</v>
      </c>
      <c r="I340" s="746" t="s">
        <v>112</v>
      </c>
      <c r="J340" s="150"/>
      <c r="K340" s="698">
        <f>K343+K341+K342+K344</f>
        <v>47871.700000000004</v>
      </c>
      <c r="L340" s="166">
        <f>L343+L341+L342+L344</f>
        <v>0</v>
      </c>
      <c r="M340" s="166">
        <f>M343+M341+M342+M344</f>
        <v>47871.700000000004</v>
      </c>
      <c r="N340" s="166">
        <f>N343+N341+N342+N344</f>
        <v>47931.8</v>
      </c>
    </row>
    <row r="341" spans="1:14" s="396" customFormat="1" ht="112.5">
      <c r="A341" s="151"/>
      <c r="B341" s="164" t="s">
        <v>69</v>
      </c>
      <c r="C341" s="165" t="s">
        <v>611</v>
      </c>
      <c r="D341" s="150" t="s">
        <v>246</v>
      </c>
      <c r="E341" s="150" t="s">
        <v>84</v>
      </c>
      <c r="F341" s="744" t="s">
        <v>59</v>
      </c>
      <c r="G341" s="745" t="s">
        <v>110</v>
      </c>
      <c r="H341" s="745" t="s">
        <v>57</v>
      </c>
      <c r="I341" s="746" t="s">
        <v>112</v>
      </c>
      <c r="J341" s="150" t="s">
        <v>70</v>
      </c>
      <c r="K341" s="698">
        <f>26463.7-7834.7</f>
        <v>18629</v>
      </c>
      <c r="L341" s="166">
        <f>M341-K341</f>
        <v>0</v>
      </c>
      <c r="M341" s="166">
        <f>26463.7-7834.7</f>
        <v>18629</v>
      </c>
      <c r="N341" s="166">
        <f>26463.7-7834.7</f>
        <v>18629</v>
      </c>
    </row>
    <row r="342" spans="1:14" s="396" customFormat="1" ht="56.25">
      <c r="A342" s="151"/>
      <c r="B342" s="164" t="s">
        <v>75</v>
      </c>
      <c r="C342" s="165" t="s">
        <v>611</v>
      </c>
      <c r="D342" s="150" t="s">
        <v>246</v>
      </c>
      <c r="E342" s="150" t="s">
        <v>84</v>
      </c>
      <c r="F342" s="744" t="s">
        <v>59</v>
      </c>
      <c r="G342" s="745" t="s">
        <v>110</v>
      </c>
      <c r="H342" s="745" t="s">
        <v>57</v>
      </c>
      <c r="I342" s="746" t="s">
        <v>112</v>
      </c>
      <c r="J342" s="150" t="s">
        <v>76</v>
      </c>
      <c r="K342" s="698">
        <f>1345.7-209.71305</f>
        <v>1135.98695</v>
      </c>
      <c r="L342" s="166">
        <f>M342-K342</f>
        <v>0</v>
      </c>
      <c r="M342" s="166">
        <f>1345.7-209.71305</f>
        <v>1135.98695</v>
      </c>
      <c r="N342" s="166">
        <f>1379.7-211.94364</f>
        <v>1167.7563600000001</v>
      </c>
    </row>
    <row r="343" spans="1:14" s="396" customFormat="1" ht="56.25">
      <c r="A343" s="151"/>
      <c r="B343" s="164" t="s">
        <v>97</v>
      </c>
      <c r="C343" s="165" t="s">
        <v>611</v>
      </c>
      <c r="D343" s="150" t="s">
        <v>246</v>
      </c>
      <c r="E343" s="150" t="s">
        <v>84</v>
      </c>
      <c r="F343" s="744" t="s">
        <v>59</v>
      </c>
      <c r="G343" s="745" t="s">
        <v>110</v>
      </c>
      <c r="H343" s="745" t="s">
        <v>57</v>
      </c>
      <c r="I343" s="746" t="s">
        <v>112</v>
      </c>
      <c r="J343" s="150" t="s">
        <v>98</v>
      </c>
      <c r="K343" s="698">
        <f>20006.7+8049.01605</f>
        <v>28055.716050000003</v>
      </c>
      <c r="L343" s="166">
        <f>M343-K343</f>
        <v>0</v>
      </c>
      <c r="M343" s="166">
        <f>20006.7+8049.01605</f>
        <v>28055.716050000003</v>
      </c>
      <c r="N343" s="166">
        <f>20033.4+8050.99364</f>
        <v>28084.393640000002</v>
      </c>
    </row>
    <row r="344" spans="1:14" s="396" customFormat="1" ht="18.75">
      <c r="A344" s="151"/>
      <c r="B344" s="164" t="s">
        <v>77</v>
      </c>
      <c r="C344" s="165" t="s">
        <v>611</v>
      </c>
      <c r="D344" s="150" t="s">
        <v>246</v>
      </c>
      <c r="E344" s="150" t="s">
        <v>84</v>
      </c>
      <c r="F344" s="744" t="s">
        <v>59</v>
      </c>
      <c r="G344" s="745" t="s">
        <v>110</v>
      </c>
      <c r="H344" s="745" t="s">
        <v>57</v>
      </c>
      <c r="I344" s="746" t="s">
        <v>112</v>
      </c>
      <c r="J344" s="150" t="s">
        <v>78</v>
      </c>
      <c r="K344" s="698">
        <f>55.6-4.603</f>
        <v>50.997</v>
      </c>
      <c r="L344" s="166">
        <f>M344-K344</f>
        <v>0</v>
      </c>
      <c r="M344" s="166">
        <f>55.6-4.603</f>
        <v>50.997</v>
      </c>
      <c r="N344" s="166">
        <f>55-4.35</f>
        <v>50.65</v>
      </c>
    </row>
    <row r="345" spans="1:14" s="396" customFormat="1" ht="210" customHeight="1">
      <c r="A345" s="151"/>
      <c r="B345" s="164" t="s">
        <v>696</v>
      </c>
      <c r="C345" s="165" t="s">
        <v>611</v>
      </c>
      <c r="D345" s="150" t="s">
        <v>246</v>
      </c>
      <c r="E345" s="150" t="s">
        <v>84</v>
      </c>
      <c r="F345" s="744" t="s">
        <v>59</v>
      </c>
      <c r="G345" s="745" t="s">
        <v>110</v>
      </c>
      <c r="H345" s="745" t="s">
        <v>57</v>
      </c>
      <c r="I345" s="746" t="s">
        <v>538</v>
      </c>
      <c r="J345" s="150"/>
      <c r="K345" s="698">
        <f>K346</f>
        <v>125</v>
      </c>
      <c r="L345" s="166">
        <f>L346</f>
        <v>0</v>
      </c>
      <c r="M345" s="166">
        <f>M346</f>
        <v>125</v>
      </c>
      <c r="N345" s="166">
        <f>N346</f>
        <v>125</v>
      </c>
    </row>
    <row r="346" spans="1:14" s="396" customFormat="1" ht="112.5">
      <c r="A346" s="151"/>
      <c r="B346" s="164" t="s">
        <v>69</v>
      </c>
      <c r="C346" s="165" t="s">
        <v>611</v>
      </c>
      <c r="D346" s="150" t="s">
        <v>246</v>
      </c>
      <c r="E346" s="150" t="s">
        <v>84</v>
      </c>
      <c r="F346" s="744" t="s">
        <v>59</v>
      </c>
      <c r="G346" s="745" t="s">
        <v>110</v>
      </c>
      <c r="H346" s="745" t="s">
        <v>57</v>
      </c>
      <c r="I346" s="746" t="s">
        <v>538</v>
      </c>
      <c r="J346" s="150" t="s">
        <v>70</v>
      </c>
      <c r="K346" s="698">
        <v>125</v>
      </c>
      <c r="L346" s="166">
        <f>M346-K346</f>
        <v>0</v>
      </c>
      <c r="M346" s="166">
        <v>125</v>
      </c>
      <c r="N346" s="166">
        <v>125</v>
      </c>
    </row>
    <row r="347" spans="1:14" s="396" customFormat="1" ht="183.75" customHeight="1">
      <c r="A347" s="151"/>
      <c r="B347" s="164" t="s">
        <v>308</v>
      </c>
      <c r="C347" s="165" t="s">
        <v>611</v>
      </c>
      <c r="D347" s="150" t="s">
        <v>246</v>
      </c>
      <c r="E347" s="150" t="s">
        <v>84</v>
      </c>
      <c r="F347" s="744" t="s">
        <v>59</v>
      </c>
      <c r="G347" s="745" t="s">
        <v>110</v>
      </c>
      <c r="H347" s="745" t="s">
        <v>57</v>
      </c>
      <c r="I347" s="746" t="s">
        <v>309</v>
      </c>
      <c r="J347" s="150"/>
      <c r="K347" s="698" t="e">
        <f>#REF!+#REF!+K348</f>
        <v>#REF!</v>
      </c>
      <c r="L347" s="166">
        <f>L348</f>
        <v>0</v>
      </c>
      <c r="M347" s="166">
        <f>M348</f>
        <v>110.9</v>
      </c>
      <c r="N347" s="166">
        <f>N348</f>
        <v>114.8</v>
      </c>
    </row>
    <row r="348" spans="1:14" s="396" customFormat="1" ht="56.25">
      <c r="A348" s="151"/>
      <c r="B348" s="164" t="s">
        <v>97</v>
      </c>
      <c r="C348" s="165" t="s">
        <v>611</v>
      </c>
      <c r="D348" s="150" t="s">
        <v>246</v>
      </c>
      <c r="E348" s="150" t="s">
        <v>84</v>
      </c>
      <c r="F348" s="744" t="s">
        <v>59</v>
      </c>
      <c r="G348" s="745" t="s">
        <v>110</v>
      </c>
      <c r="H348" s="745" t="s">
        <v>57</v>
      </c>
      <c r="I348" s="746" t="s">
        <v>309</v>
      </c>
      <c r="J348" s="150" t="s">
        <v>98</v>
      </c>
      <c r="K348" s="698">
        <v>110.9</v>
      </c>
      <c r="L348" s="166">
        <f>M348-K348</f>
        <v>0</v>
      </c>
      <c r="M348" s="166">
        <v>110.9</v>
      </c>
      <c r="N348" s="166">
        <v>114.8</v>
      </c>
    </row>
    <row r="349" spans="1:14" s="396" customFormat="1" ht="115.5" customHeight="1">
      <c r="A349" s="151"/>
      <c r="B349" s="164" t="s">
        <v>415</v>
      </c>
      <c r="C349" s="165" t="s">
        <v>611</v>
      </c>
      <c r="D349" s="150" t="s">
        <v>246</v>
      </c>
      <c r="E349" s="150" t="s">
        <v>84</v>
      </c>
      <c r="F349" s="744" t="s">
        <v>59</v>
      </c>
      <c r="G349" s="745" t="s">
        <v>110</v>
      </c>
      <c r="H349" s="745" t="s">
        <v>57</v>
      </c>
      <c r="I349" s="746" t="s">
        <v>310</v>
      </c>
      <c r="J349" s="150"/>
      <c r="K349" s="698">
        <f>K350</f>
        <v>7875.4</v>
      </c>
      <c r="L349" s="166">
        <f>L350</f>
        <v>0</v>
      </c>
      <c r="M349" s="166">
        <f>M350</f>
        <v>7875.4</v>
      </c>
      <c r="N349" s="166">
        <f>N350</f>
        <v>7875.4</v>
      </c>
    </row>
    <row r="350" spans="1:14" s="396" customFormat="1" ht="56.25">
      <c r="A350" s="151"/>
      <c r="B350" s="164" t="s">
        <v>97</v>
      </c>
      <c r="C350" s="165" t="s">
        <v>611</v>
      </c>
      <c r="D350" s="150" t="s">
        <v>246</v>
      </c>
      <c r="E350" s="150" t="s">
        <v>84</v>
      </c>
      <c r="F350" s="744" t="s">
        <v>59</v>
      </c>
      <c r="G350" s="745" t="s">
        <v>110</v>
      </c>
      <c r="H350" s="745" t="s">
        <v>57</v>
      </c>
      <c r="I350" s="746" t="s">
        <v>310</v>
      </c>
      <c r="J350" s="150" t="s">
        <v>98</v>
      </c>
      <c r="K350" s="698">
        <v>7875.4</v>
      </c>
      <c r="L350" s="166">
        <f>M350-K350</f>
        <v>0</v>
      </c>
      <c r="M350" s="166">
        <v>7875.4</v>
      </c>
      <c r="N350" s="166">
        <v>7875.4</v>
      </c>
    </row>
    <row r="351" spans="1:14" s="396" customFormat="1" ht="55.5" customHeight="1">
      <c r="A351" s="151"/>
      <c r="B351" s="164" t="s">
        <v>101</v>
      </c>
      <c r="C351" s="165" t="s">
        <v>611</v>
      </c>
      <c r="D351" s="150" t="s">
        <v>246</v>
      </c>
      <c r="E351" s="150" t="s">
        <v>84</v>
      </c>
      <c r="F351" s="744" t="s">
        <v>102</v>
      </c>
      <c r="G351" s="745" t="s">
        <v>62</v>
      </c>
      <c r="H351" s="745" t="s">
        <v>63</v>
      </c>
      <c r="I351" s="746" t="s">
        <v>64</v>
      </c>
      <c r="J351" s="150"/>
      <c r="K351" s="698">
        <f t="shared" ref="K351:M353" si="56">K352</f>
        <v>0</v>
      </c>
      <c r="L351" s="166">
        <f t="shared" si="56"/>
        <v>0</v>
      </c>
      <c r="M351" s="166">
        <f t="shared" si="56"/>
        <v>0</v>
      </c>
      <c r="N351" s="166">
        <f t="shared" ref="N351:N353" si="57">N352</f>
        <v>571.6</v>
      </c>
    </row>
    <row r="352" spans="1:14" s="396" customFormat="1" ht="37.5">
      <c r="A352" s="151"/>
      <c r="B352" s="164" t="s">
        <v>146</v>
      </c>
      <c r="C352" s="165" t="s">
        <v>611</v>
      </c>
      <c r="D352" s="150" t="s">
        <v>246</v>
      </c>
      <c r="E352" s="150" t="s">
        <v>84</v>
      </c>
      <c r="F352" s="744" t="s">
        <v>102</v>
      </c>
      <c r="G352" s="745" t="s">
        <v>110</v>
      </c>
      <c r="H352" s="745" t="s">
        <v>63</v>
      </c>
      <c r="I352" s="746" t="s">
        <v>64</v>
      </c>
      <c r="J352" s="150"/>
      <c r="K352" s="698">
        <f t="shared" si="56"/>
        <v>0</v>
      </c>
      <c r="L352" s="166">
        <f t="shared" si="56"/>
        <v>0</v>
      </c>
      <c r="M352" s="166">
        <f t="shared" si="56"/>
        <v>0</v>
      </c>
      <c r="N352" s="166">
        <f t="shared" si="57"/>
        <v>571.6</v>
      </c>
    </row>
    <row r="353" spans="1:14" s="396" customFormat="1" ht="38.25" customHeight="1">
      <c r="A353" s="151"/>
      <c r="B353" s="164" t="s">
        <v>311</v>
      </c>
      <c r="C353" s="165" t="s">
        <v>611</v>
      </c>
      <c r="D353" s="150" t="s">
        <v>246</v>
      </c>
      <c r="E353" s="150" t="s">
        <v>84</v>
      </c>
      <c r="F353" s="744" t="s">
        <v>102</v>
      </c>
      <c r="G353" s="745" t="s">
        <v>110</v>
      </c>
      <c r="H353" s="745" t="s">
        <v>57</v>
      </c>
      <c r="I353" s="746" t="s">
        <v>64</v>
      </c>
      <c r="J353" s="150"/>
      <c r="K353" s="698">
        <f t="shared" si="56"/>
        <v>0</v>
      </c>
      <c r="L353" s="166">
        <f t="shared" si="56"/>
        <v>0</v>
      </c>
      <c r="M353" s="166">
        <f t="shared" si="56"/>
        <v>0</v>
      </c>
      <c r="N353" s="166">
        <f t="shared" si="57"/>
        <v>571.6</v>
      </c>
    </row>
    <row r="354" spans="1:14" s="396" customFormat="1" ht="18.75">
      <c r="A354" s="151"/>
      <c r="B354" s="164" t="s">
        <v>686</v>
      </c>
      <c r="C354" s="165" t="s">
        <v>611</v>
      </c>
      <c r="D354" s="150" t="s">
        <v>246</v>
      </c>
      <c r="E354" s="150" t="s">
        <v>84</v>
      </c>
      <c r="F354" s="744" t="s">
        <v>102</v>
      </c>
      <c r="G354" s="745" t="s">
        <v>110</v>
      </c>
      <c r="H354" s="745" t="s">
        <v>57</v>
      </c>
      <c r="I354" s="746" t="s">
        <v>687</v>
      </c>
      <c r="J354" s="150"/>
      <c r="K354" s="698">
        <f>K355</f>
        <v>0</v>
      </c>
      <c r="L354" s="166">
        <f>L355</f>
        <v>0</v>
      </c>
      <c r="M354" s="166">
        <f>M355</f>
        <v>0</v>
      </c>
      <c r="N354" s="166">
        <f>N355</f>
        <v>571.6</v>
      </c>
    </row>
    <row r="355" spans="1:14" s="396" customFormat="1" ht="56.25">
      <c r="A355" s="151"/>
      <c r="B355" s="164" t="s">
        <v>75</v>
      </c>
      <c r="C355" s="165" t="s">
        <v>611</v>
      </c>
      <c r="D355" s="150" t="s">
        <v>246</v>
      </c>
      <c r="E355" s="150" t="s">
        <v>84</v>
      </c>
      <c r="F355" s="744" t="s">
        <v>102</v>
      </c>
      <c r="G355" s="745" t="s">
        <v>110</v>
      </c>
      <c r="H355" s="745" t="s">
        <v>57</v>
      </c>
      <c r="I355" s="746" t="s">
        <v>687</v>
      </c>
      <c r="J355" s="150" t="s">
        <v>76</v>
      </c>
      <c r="K355" s="698">
        <v>0</v>
      </c>
      <c r="L355" s="166">
        <f>M355-K355</f>
        <v>0</v>
      </c>
      <c r="M355" s="166">
        <v>0</v>
      </c>
      <c r="N355" s="166">
        <v>571.6</v>
      </c>
    </row>
    <row r="356" spans="1:14" s="527" customFormat="1" ht="18.75">
      <c r="A356" s="526"/>
      <c r="B356" s="164" t="s">
        <v>425</v>
      </c>
      <c r="C356" s="165" t="s">
        <v>611</v>
      </c>
      <c r="D356" s="150" t="s">
        <v>246</v>
      </c>
      <c r="E356" s="150" t="s">
        <v>246</v>
      </c>
      <c r="F356" s="744"/>
      <c r="G356" s="745"/>
      <c r="H356" s="745"/>
      <c r="I356" s="746"/>
      <c r="J356" s="150"/>
      <c r="K356" s="698">
        <f t="shared" ref="K356:N356" si="58">K357</f>
        <v>6749.9</v>
      </c>
      <c r="L356" s="166">
        <f t="shared" si="58"/>
        <v>0</v>
      </c>
      <c r="M356" s="166">
        <f t="shared" si="58"/>
        <v>6749.9</v>
      </c>
      <c r="N356" s="166">
        <f t="shared" si="58"/>
        <v>6749.9</v>
      </c>
    </row>
    <row r="357" spans="1:14" s="527" customFormat="1" ht="56.25">
      <c r="A357" s="526"/>
      <c r="B357" s="164" t="s">
        <v>227</v>
      </c>
      <c r="C357" s="165" t="s">
        <v>611</v>
      </c>
      <c r="D357" s="150" t="s">
        <v>246</v>
      </c>
      <c r="E357" s="150" t="s">
        <v>246</v>
      </c>
      <c r="F357" s="744" t="s">
        <v>59</v>
      </c>
      <c r="G357" s="745" t="s">
        <v>62</v>
      </c>
      <c r="H357" s="745" t="s">
        <v>63</v>
      </c>
      <c r="I357" s="746" t="s">
        <v>64</v>
      </c>
      <c r="J357" s="150"/>
      <c r="K357" s="698">
        <f t="shared" ref="K357:N358" si="59">K358</f>
        <v>6749.9</v>
      </c>
      <c r="L357" s="166">
        <f t="shared" si="59"/>
        <v>0</v>
      </c>
      <c r="M357" s="166">
        <f t="shared" si="59"/>
        <v>6749.9</v>
      </c>
      <c r="N357" s="166">
        <f t="shared" si="59"/>
        <v>6749.9</v>
      </c>
    </row>
    <row r="358" spans="1:14" s="527" customFormat="1" ht="56.25">
      <c r="A358" s="526"/>
      <c r="B358" s="164" t="s">
        <v>234</v>
      </c>
      <c r="C358" s="165" t="s">
        <v>611</v>
      </c>
      <c r="D358" s="150" t="s">
        <v>246</v>
      </c>
      <c r="E358" s="150" t="s">
        <v>246</v>
      </c>
      <c r="F358" s="744" t="s">
        <v>59</v>
      </c>
      <c r="G358" s="745" t="s">
        <v>50</v>
      </c>
      <c r="H358" s="745" t="s">
        <v>63</v>
      </c>
      <c r="I358" s="746" t="s">
        <v>64</v>
      </c>
      <c r="J358" s="150"/>
      <c r="K358" s="698">
        <f t="shared" si="59"/>
        <v>6749.9</v>
      </c>
      <c r="L358" s="166">
        <f t="shared" si="59"/>
        <v>0</v>
      </c>
      <c r="M358" s="166">
        <f t="shared" si="59"/>
        <v>6749.9</v>
      </c>
      <c r="N358" s="166">
        <f t="shared" si="59"/>
        <v>6749.9</v>
      </c>
    </row>
    <row r="359" spans="1:14" s="527" customFormat="1" ht="56.25">
      <c r="A359" s="526"/>
      <c r="B359" s="164" t="s">
        <v>321</v>
      </c>
      <c r="C359" s="165" t="s">
        <v>611</v>
      </c>
      <c r="D359" s="150" t="s">
        <v>246</v>
      </c>
      <c r="E359" s="150" t="s">
        <v>246</v>
      </c>
      <c r="F359" s="744" t="s">
        <v>59</v>
      </c>
      <c r="G359" s="745" t="s">
        <v>50</v>
      </c>
      <c r="H359" s="745" t="s">
        <v>59</v>
      </c>
      <c r="I359" s="746" t="s">
        <v>64</v>
      </c>
      <c r="J359" s="150"/>
      <c r="K359" s="698">
        <f t="shared" ref="K359:N359" si="60">K360</f>
        <v>6749.9</v>
      </c>
      <c r="L359" s="166">
        <f t="shared" si="60"/>
        <v>0</v>
      </c>
      <c r="M359" s="166">
        <f t="shared" si="60"/>
        <v>6749.9</v>
      </c>
      <c r="N359" s="166">
        <f t="shared" si="60"/>
        <v>6749.9</v>
      </c>
    </row>
    <row r="360" spans="1:14" s="527" customFormat="1" ht="110.25" customHeight="1">
      <c r="A360" s="526"/>
      <c r="B360" s="164" t="s">
        <v>737</v>
      </c>
      <c r="C360" s="165" t="s">
        <v>611</v>
      </c>
      <c r="D360" s="150" t="s">
        <v>246</v>
      </c>
      <c r="E360" s="150" t="s">
        <v>246</v>
      </c>
      <c r="F360" s="744" t="s">
        <v>59</v>
      </c>
      <c r="G360" s="745" t="s">
        <v>50</v>
      </c>
      <c r="H360" s="745" t="s">
        <v>59</v>
      </c>
      <c r="I360" s="746" t="s">
        <v>736</v>
      </c>
      <c r="J360" s="150"/>
      <c r="K360" s="698">
        <f t="shared" ref="K360:M360" si="61">K361</f>
        <v>6749.9</v>
      </c>
      <c r="L360" s="166">
        <f t="shared" si="61"/>
        <v>0</v>
      </c>
      <c r="M360" s="166">
        <f t="shared" si="61"/>
        <v>6749.9</v>
      </c>
      <c r="N360" s="166">
        <f>N361</f>
        <v>6749.9</v>
      </c>
    </row>
    <row r="361" spans="1:14" s="527" customFormat="1" ht="56.25">
      <c r="A361" s="526"/>
      <c r="B361" s="164" t="s">
        <v>97</v>
      </c>
      <c r="C361" s="165" t="s">
        <v>611</v>
      </c>
      <c r="D361" s="150" t="s">
        <v>246</v>
      </c>
      <c r="E361" s="150" t="s">
        <v>246</v>
      </c>
      <c r="F361" s="744" t="s">
        <v>59</v>
      </c>
      <c r="G361" s="745" t="s">
        <v>50</v>
      </c>
      <c r="H361" s="745" t="s">
        <v>59</v>
      </c>
      <c r="I361" s="746" t="s">
        <v>736</v>
      </c>
      <c r="J361" s="150" t="s">
        <v>98</v>
      </c>
      <c r="K361" s="698">
        <v>6749.9</v>
      </c>
      <c r="L361" s="166">
        <f>M361-K361</f>
        <v>0</v>
      </c>
      <c r="M361" s="166">
        <v>6749.9</v>
      </c>
      <c r="N361" s="166">
        <v>6749.9</v>
      </c>
    </row>
    <row r="362" spans="1:14" s="396" customFormat="1" ht="18.75">
      <c r="A362" s="151"/>
      <c r="B362" s="164" t="s">
        <v>208</v>
      </c>
      <c r="C362" s="165" t="s">
        <v>611</v>
      </c>
      <c r="D362" s="150" t="s">
        <v>246</v>
      </c>
      <c r="E362" s="150" t="s">
        <v>100</v>
      </c>
      <c r="F362" s="744"/>
      <c r="G362" s="745"/>
      <c r="H362" s="745"/>
      <c r="I362" s="746"/>
      <c r="J362" s="150"/>
      <c r="K362" s="698">
        <f>K363</f>
        <v>62050.2</v>
      </c>
      <c r="L362" s="166">
        <f>L363</f>
        <v>0</v>
      </c>
      <c r="M362" s="166">
        <f>M363</f>
        <v>62050.2</v>
      </c>
      <c r="N362" s="166">
        <f>N363</f>
        <v>62084.200000000004</v>
      </c>
    </row>
    <row r="363" spans="1:14" s="396" customFormat="1" ht="56.25">
      <c r="A363" s="151"/>
      <c r="B363" s="164" t="s">
        <v>227</v>
      </c>
      <c r="C363" s="165" t="s">
        <v>611</v>
      </c>
      <c r="D363" s="150" t="s">
        <v>246</v>
      </c>
      <c r="E363" s="150" t="s">
        <v>100</v>
      </c>
      <c r="F363" s="744" t="s">
        <v>59</v>
      </c>
      <c r="G363" s="745" t="s">
        <v>62</v>
      </c>
      <c r="H363" s="745" t="s">
        <v>63</v>
      </c>
      <c r="I363" s="746" t="s">
        <v>64</v>
      </c>
      <c r="J363" s="150"/>
      <c r="K363" s="698">
        <f t="shared" ref="K363:N364" si="62">K364</f>
        <v>62050.2</v>
      </c>
      <c r="L363" s="166">
        <f t="shared" si="62"/>
        <v>0</v>
      </c>
      <c r="M363" s="166">
        <f t="shared" si="62"/>
        <v>62050.2</v>
      </c>
      <c r="N363" s="166">
        <f t="shared" si="62"/>
        <v>62084.200000000004</v>
      </c>
    </row>
    <row r="364" spans="1:14" s="396" customFormat="1" ht="56.25">
      <c r="A364" s="151"/>
      <c r="B364" s="164" t="s">
        <v>234</v>
      </c>
      <c r="C364" s="165" t="s">
        <v>611</v>
      </c>
      <c r="D364" s="150" t="s">
        <v>246</v>
      </c>
      <c r="E364" s="150" t="s">
        <v>100</v>
      </c>
      <c r="F364" s="744" t="s">
        <v>59</v>
      </c>
      <c r="G364" s="745" t="s">
        <v>50</v>
      </c>
      <c r="H364" s="745" t="s">
        <v>63</v>
      </c>
      <c r="I364" s="746" t="s">
        <v>64</v>
      </c>
      <c r="J364" s="150"/>
      <c r="K364" s="698">
        <f t="shared" si="62"/>
        <v>62050.2</v>
      </c>
      <c r="L364" s="166">
        <f t="shared" si="62"/>
        <v>0</v>
      </c>
      <c r="M364" s="166">
        <f t="shared" si="62"/>
        <v>62050.2</v>
      </c>
      <c r="N364" s="166">
        <f t="shared" si="62"/>
        <v>62084.200000000004</v>
      </c>
    </row>
    <row r="365" spans="1:14" s="396" customFormat="1" ht="37.5">
      <c r="A365" s="151"/>
      <c r="B365" s="164" t="s">
        <v>322</v>
      </c>
      <c r="C365" s="165" t="s">
        <v>611</v>
      </c>
      <c r="D365" s="150" t="s">
        <v>246</v>
      </c>
      <c r="E365" s="150" t="s">
        <v>100</v>
      </c>
      <c r="F365" s="744" t="s">
        <v>59</v>
      </c>
      <c r="G365" s="745" t="s">
        <v>50</v>
      </c>
      <c r="H365" s="745" t="s">
        <v>57</v>
      </c>
      <c r="I365" s="746" t="s">
        <v>64</v>
      </c>
      <c r="J365" s="150"/>
      <c r="K365" s="698">
        <f>K366+K370+K375</f>
        <v>62050.2</v>
      </c>
      <c r="L365" s="166">
        <f>L366+L370+L375</f>
        <v>0</v>
      </c>
      <c r="M365" s="166">
        <f>M366+M370+M375</f>
        <v>62050.2</v>
      </c>
      <c r="N365" s="166">
        <f>N366+N370+N375</f>
        <v>62084.200000000004</v>
      </c>
    </row>
    <row r="366" spans="1:14" s="396" customFormat="1" ht="37.5">
      <c r="A366" s="151"/>
      <c r="B366" s="164" t="s">
        <v>67</v>
      </c>
      <c r="C366" s="165" t="s">
        <v>611</v>
      </c>
      <c r="D366" s="150" t="s">
        <v>246</v>
      </c>
      <c r="E366" s="150" t="s">
        <v>100</v>
      </c>
      <c r="F366" s="744" t="s">
        <v>59</v>
      </c>
      <c r="G366" s="745" t="s">
        <v>50</v>
      </c>
      <c r="H366" s="745" t="s">
        <v>57</v>
      </c>
      <c r="I366" s="746" t="s">
        <v>68</v>
      </c>
      <c r="J366" s="150"/>
      <c r="K366" s="698">
        <f>K367+K368+K369</f>
        <v>10391.199999999999</v>
      </c>
      <c r="L366" s="166">
        <f>L367+L368+L369</f>
        <v>0</v>
      </c>
      <c r="M366" s="166">
        <f>M367+M368+M369</f>
        <v>10391.199999999999</v>
      </c>
      <c r="N366" s="166">
        <f>N367+N368+N369</f>
        <v>10396.800000000001</v>
      </c>
    </row>
    <row r="367" spans="1:14" s="396" customFormat="1" ht="112.5">
      <c r="A367" s="151"/>
      <c r="B367" s="164" t="s">
        <v>69</v>
      </c>
      <c r="C367" s="165" t="s">
        <v>611</v>
      </c>
      <c r="D367" s="150" t="s">
        <v>246</v>
      </c>
      <c r="E367" s="150" t="s">
        <v>100</v>
      </c>
      <c r="F367" s="744" t="s">
        <v>59</v>
      </c>
      <c r="G367" s="745" t="s">
        <v>50</v>
      </c>
      <c r="H367" s="745" t="s">
        <v>57</v>
      </c>
      <c r="I367" s="746" t="s">
        <v>68</v>
      </c>
      <c r="J367" s="150" t="s">
        <v>70</v>
      </c>
      <c r="K367" s="698">
        <v>9265.9</v>
      </c>
      <c r="L367" s="166">
        <f>M367-K367</f>
        <v>0</v>
      </c>
      <c r="M367" s="166">
        <v>9265.9</v>
      </c>
      <c r="N367" s="166">
        <v>9265.9</v>
      </c>
    </row>
    <row r="368" spans="1:14" s="396" customFormat="1" ht="56.25">
      <c r="A368" s="151"/>
      <c r="B368" s="164" t="s">
        <v>75</v>
      </c>
      <c r="C368" s="165" t="s">
        <v>611</v>
      </c>
      <c r="D368" s="150" t="s">
        <v>246</v>
      </c>
      <c r="E368" s="150" t="s">
        <v>100</v>
      </c>
      <c r="F368" s="744" t="s">
        <v>59</v>
      </c>
      <c r="G368" s="745" t="s">
        <v>50</v>
      </c>
      <c r="H368" s="745" t="s">
        <v>57</v>
      </c>
      <c r="I368" s="746" t="s">
        <v>68</v>
      </c>
      <c r="J368" s="150" t="s">
        <v>76</v>
      </c>
      <c r="K368" s="698">
        <v>1110.5</v>
      </c>
      <c r="L368" s="166">
        <f>M368-K368</f>
        <v>0</v>
      </c>
      <c r="M368" s="166">
        <v>1110.5</v>
      </c>
      <c r="N368" s="166">
        <v>1116.2</v>
      </c>
    </row>
    <row r="369" spans="1:14" s="396" customFormat="1" ht="18.75">
      <c r="A369" s="151"/>
      <c r="B369" s="164" t="s">
        <v>77</v>
      </c>
      <c r="C369" s="165" t="s">
        <v>611</v>
      </c>
      <c r="D369" s="150" t="s">
        <v>246</v>
      </c>
      <c r="E369" s="150" t="s">
        <v>100</v>
      </c>
      <c r="F369" s="744" t="s">
        <v>59</v>
      </c>
      <c r="G369" s="745" t="s">
        <v>50</v>
      </c>
      <c r="H369" s="745" t="s">
        <v>57</v>
      </c>
      <c r="I369" s="746" t="s">
        <v>68</v>
      </c>
      <c r="J369" s="150" t="s">
        <v>78</v>
      </c>
      <c r="K369" s="698">
        <v>14.8</v>
      </c>
      <c r="L369" s="166">
        <f>M369-K369</f>
        <v>0</v>
      </c>
      <c r="M369" s="166">
        <v>14.8</v>
      </c>
      <c r="N369" s="166">
        <v>14.7</v>
      </c>
    </row>
    <row r="370" spans="1:14" s="396" customFormat="1" ht="44.25" customHeight="1">
      <c r="A370" s="151"/>
      <c r="B370" s="304" t="s">
        <v>800</v>
      </c>
      <c r="C370" s="165" t="s">
        <v>611</v>
      </c>
      <c r="D370" s="150" t="s">
        <v>246</v>
      </c>
      <c r="E370" s="150" t="s">
        <v>100</v>
      </c>
      <c r="F370" s="744" t="s">
        <v>59</v>
      </c>
      <c r="G370" s="745" t="s">
        <v>50</v>
      </c>
      <c r="H370" s="745" t="s">
        <v>57</v>
      </c>
      <c r="I370" s="746" t="s">
        <v>112</v>
      </c>
      <c r="J370" s="150"/>
      <c r="K370" s="698">
        <f>K371+K372+K374+K373</f>
        <v>45469.1</v>
      </c>
      <c r="L370" s="166">
        <f>L371+L372+L374+L373</f>
        <v>0</v>
      </c>
      <c r="M370" s="166">
        <f>M371+M372+M374+M373</f>
        <v>45469.1</v>
      </c>
      <c r="N370" s="166">
        <f>N371+N372+N374+N373</f>
        <v>45497.5</v>
      </c>
    </row>
    <row r="371" spans="1:14" s="396" customFormat="1" ht="112.5">
      <c r="A371" s="151"/>
      <c r="B371" s="164" t="s">
        <v>69</v>
      </c>
      <c r="C371" s="165" t="s">
        <v>611</v>
      </c>
      <c r="D371" s="150" t="s">
        <v>246</v>
      </c>
      <c r="E371" s="150" t="s">
        <v>100</v>
      </c>
      <c r="F371" s="744" t="s">
        <v>59</v>
      </c>
      <c r="G371" s="745" t="s">
        <v>50</v>
      </c>
      <c r="H371" s="745" t="s">
        <v>57</v>
      </c>
      <c r="I371" s="746" t="s">
        <v>112</v>
      </c>
      <c r="J371" s="150" t="s">
        <v>70</v>
      </c>
      <c r="K371" s="698">
        <v>26953.7</v>
      </c>
      <c r="L371" s="166">
        <f>M371-K371</f>
        <v>0</v>
      </c>
      <c r="M371" s="166">
        <v>26953.7</v>
      </c>
      <c r="N371" s="166">
        <f>M371</f>
        <v>26953.7</v>
      </c>
    </row>
    <row r="372" spans="1:14" s="396" customFormat="1" ht="56.25">
      <c r="A372" s="151"/>
      <c r="B372" s="164" t="s">
        <v>75</v>
      </c>
      <c r="C372" s="165" t="s">
        <v>611</v>
      </c>
      <c r="D372" s="150" t="s">
        <v>246</v>
      </c>
      <c r="E372" s="150" t="s">
        <v>100</v>
      </c>
      <c r="F372" s="744" t="s">
        <v>59</v>
      </c>
      <c r="G372" s="745" t="s">
        <v>50</v>
      </c>
      <c r="H372" s="745" t="s">
        <v>57</v>
      </c>
      <c r="I372" s="746" t="s">
        <v>112</v>
      </c>
      <c r="J372" s="150" t="s">
        <v>76</v>
      </c>
      <c r="K372" s="698">
        <v>2453.8000000000002</v>
      </c>
      <c r="L372" s="166">
        <f>M372-K372</f>
        <v>0</v>
      </c>
      <c r="M372" s="166">
        <v>2453.8000000000002</v>
      </c>
      <c r="N372" s="166">
        <v>2482.5</v>
      </c>
    </row>
    <row r="373" spans="1:14" s="396" customFormat="1" ht="56.25">
      <c r="A373" s="151"/>
      <c r="B373" s="164" t="s">
        <v>97</v>
      </c>
      <c r="C373" s="165" t="s">
        <v>611</v>
      </c>
      <c r="D373" s="150" t="s">
        <v>246</v>
      </c>
      <c r="E373" s="150" t="s">
        <v>100</v>
      </c>
      <c r="F373" s="744" t="s">
        <v>59</v>
      </c>
      <c r="G373" s="745" t="s">
        <v>50</v>
      </c>
      <c r="H373" s="745" t="s">
        <v>57</v>
      </c>
      <c r="I373" s="746" t="s">
        <v>112</v>
      </c>
      <c r="J373" s="150" t="s">
        <v>98</v>
      </c>
      <c r="K373" s="698">
        <v>16053.8</v>
      </c>
      <c r="L373" s="166">
        <f>M373-K373</f>
        <v>0</v>
      </c>
      <c r="M373" s="166">
        <v>16053.8</v>
      </c>
      <c r="N373" s="166">
        <v>16053.8</v>
      </c>
    </row>
    <row r="374" spans="1:14" s="396" customFormat="1" ht="18.75">
      <c r="A374" s="151"/>
      <c r="B374" s="164" t="s">
        <v>77</v>
      </c>
      <c r="C374" s="165" t="s">
        <v>611</v>
      </c>
      <c r="D374" s="150" t="s">
        <v>246</v>
      </c>
      <c r="E374" s="150" t="s">
        <v>100</v>
      </c>
      <c r="F374" s="744" t="s">
        <v>59</v>
      </c>
      <c r="G374" s="745" t="s">
        <v>50</v>
      </c>
      <c r="H374" s="745" t="s">
        <v>57</v>
      </c>
      <c r="I374" s="746" t="s">
        <v>112</v>
      </c>
      <c r="J374" s="150" t="s">
        <v>78</v>
      </c>
      <c r="K374" s="698">
        <v>7.8</v>
      </c>
      <c r="L374" s="166">
        <f>M374-K374</f>
        <v>0</v>
      </c>
      <c r="M374" s="166">
        <v>7.8</v>
      </c>
      <c r="N374" s="166">
        <v>7.5</v>
      </c>
    </row>
    <row r="375" spans="1:14" s="396" customFormat="1" ht="114" customHeight="1">
      <c r="A375" s="151"/>
      <c r="B375" s="164" t="s">
        <v>415</v>
      </c>
      <c r="C375" s="165" t="s">
        <v>611</v>
      </c>
      <c r="D375" s="150" t="s">
        <v>246</v>
      </c>
      <c r="E375" s="150" t="s">
        <v>100</v>
      </c>
      <c r="F375" s="744" t="s">
        <v>59</v>
      </c>
      <c r="G375" s="745" t="s">
        <v>50</v>
      </c>
      <c r="H375" s="745" t="s">
        <v>57</v>
      </c>
      <c r="I375" s="746" t="s">
        <v>310</v>
      </c>
      <c r="J375" s="150"/>
      <c r="K375" s="698">
        <f>K376+K377</f>
        <v>6189.9</v>
      </c>
      <c r="L375" s="166">
        <f>L376+L377</f>
        <v>0</v>
      </c>
      <c r="M375" s="166">
        <f>M376+M377</f>
        <v>6189.9</v>
      </c>
      <c r="N375" s="166">
        <f>N376+N377</f>
        <v>6189.9</v>
      </c>
    </row>
    <row r="376" spans="1:14" s="396" customFormat="1" ht="112.5">
      <c r="A376" s="151"/>
      <c r="B376" s="164" t="s">
        <v>69</v>
      </c>
      <c r="C376" s="165" t="s">
        <v>611</v>
      </c>
      <c r="D376" s="150" t="s">
        <v>246</v>
      </c>
      <c r="E376" s="150" t="s">
        <v>100</v>
      </c>
      <c r="F376" s="744" t="s">
        <v>59</v>
      </c>
      <c r="G376" s="745" t="s">
        <v>50</v>
      </c>
      <c r="H376" s="745" t="s">
        <v>57</v>
      </c>
      <c r="I376" s="746" t="s">
        <v>310</v>
      </c>
      <c r="J376" s="150" t="s">
        <v>70</v>
      </c>
      <c r="K376" s="698">
        <v>5863.4</v>
      </c>
      <c r="L376" s="166">
        <f>M376-K376</f>
        <v>0</v>
      </c>
      <c r="M376" s="166">
        <v>5863.4</v>
      </c>
      <c r="N376" s="166">
        <v>5863.4</v>
      </c>
    </row>
    <row r="377" spans="1:14" s="396" customFormat="1" ht="56.25">
      <c r="A377" s="151"/>
      <c r="B377" s="164" t="s">
        <v>75</v>
      </c>
      <c r="C377" s="165" t="s">
        <v>611</v>
      </c>
      <c r="D377" s="150" t="s">
        <v>246</v>
      </c>
      <c r="E377" s="150" t="s">
        <v>100</v>
      </c>
      <c r="F377" s="744" t="s">
        <v>59</v>
      </c>
      <c r="G377" s="745" t="s">
        <v>50</v>
      </c>
      <c r="H377" s="745" t="s">
        <v>57</v>
      </c>
      <c r="I377" s="746" t="s">
        <v>310</v>
      </c>
      <c r="J377" s="150" t="s">
        <v>76</v>
      </c>
      <c r="K377" s="698">
        <v>326.5</v>
      </c>
      <c r="L377" s="166">
        <f>M377-K377</f>
        <v>0</v>
      </c>
      <c r="M377" s="166">
        <v>326.5</v>
      </c>
      <c r="N377" s="166">
        <v>326.5</v>
      </c>
    </row>
    <row r="378" spans="1:14" s="396" customFormat="1" ht="18.75">
      <c r="A378" s="151"/>
      <c r="B378" s="169" t="s">
        <v>140</v>
      </c>
      <c r="C378" s="165" t="s">
        <v>611</v>
      </c>
      <c r="D378" s="150" t="s">
        <v>125</v>
      </c>
      <c r="E378" s="150"/>
      <c r="F378" s="744"/>
      <c r="G378" s="745"/>
      <c r="H378" s="745"/>
      <c r="I378" s="746"/>
      <c r="J378" s="150"/>
      <c r="K378" s="698">
        <f t="shared" ref="K378:N379" si="63">K379</f>
        <v>8034.2</v>
      </c>
      <c r="L378" s="166">
        <f t="shared" si="63"/>
        <v>0</v>
      </c>
      <c r="M378" s="166">
        <f t="shared" si="63"/>
        <v>8034.2</v>
      </c>
      <c r="N378" s="166">
        <f t="shared" si="63"/>
        <v>8034.2</v>
      </c>
    </row>
    <row r="379" spans="1:14" s="396" customFormat="1" ht="18.75">
      <c r="A379" s="151"/>
      <c r="B379" s="169" t="s">
        <v>215</v>
      </c>
      <c r="C379" s="165" t="s">
        <v>611</v>
      </c>
      <c r="D379" s="150" t="s">
        <v>125</v>
      </c>
      <c r="E379" s="150" t="s">
        <v>72</v>
      </c>
      <c r="F379" s="744"/>
      <c r="G379" s="745"/>
      <c r="H379" s="745"/>
      <c r="I379" s="746"/>
      <c r="J379" s="150"/>
      <c r="K379" s="698">
        <f t="shared" si="63"/>
        <v>8034.2</v>
      </c>
      <c r="L379" s="166">
        <f t="shared" si="63"/>
        <v>0</v>
      </c>
      <c r="M379" s="166">
        <f t="shared" si="63"/>
        <v>8034.2</v>
      </c>
      <c r="N379" s="166">
        <f t="shared" si="63"/>
        <v>8034.2</v>
      </c>
    </row>
    <row r="380" spans="1:14" s="396" customFormat="1" ht="56.25">
      <c r="A380" s="151"/>
      <c r="B380" s="164" t="s">
        <v>227</v>
      </c>
      <c r="C380" s="165" t="s">
        <v>611</v>
      </c>
      <c r="D380" s="150" t="s">
        <v>125</v>
      </c>
      <c r="E380" s="150" t="s">
        <v>72</v>
      </c>
      <c r="F380" s="744" t="s">
        <v>59</v>
      </c>
      <c r="G380" s="745" t="s">
        <v>62</v>
      </c>
      <c r="H380" s="745" t="s">
        <v>63</v>
      </c>
      <c r="I380" s="746" t="s">
        <v>64</v>
      </c>
      <c r="J380" s="150"/>
      <c r="K380" s="698">
        <f t="shared" ref="K380:N382" si="64">K381</f>
        <v>8034.2</v>
      </c>
      <c r="L380" s="166">
        <f t="shared" si="64"/>
        <v>0</v>
      </c>
      <c r="M380" s="166">
        <f t="shared" si="64"/>
        <v>8034.2</v>
      </c>
      <c r="N380" s="166">
        <f t="shared" si="64"/>
        <v>8034.2</v>
      </c>
    </row>
    <row r="381" spans="1:14" s="396" customFormat="1" ht="37.5">
      <c r="A381" s="151"/>
      <c r="B381" s="164" t="s">
        <v>228</v>
      </c>
      <c r="C381" s="165" t="s">
        <v>611</v>
      </c>
      <c r="D381" s="150" t="s">
        <v>125</v>
      </c>
      <c r="E381" s="150" t="s">
        <v>72</v>
      </c>
      <c r="F381" s="744" t="s">
        <v>59</v>
      </c>
      <c r="G381" s="745" t="s">
        <v>65</v>
      </c>
      <c r="H381" s="745" t="s">
        <v>63</v>
      </c>
      <c r="I381" s="746" t="s">
        <v>64</v>
      </c>
      <c r="J381" s="150"/>
      <c r="K381" s="698">
        <f t="shared" si="64"/>
        <v>8034.2</v>
      </c>
      <c r="L381" s="166">
        <f t="shared" si="64"/>
        <v>0</v>
      </c>
      <c r="M381" s="166">
        <f t="shared" si="64"/>
        <v>8034.2</v>
      </c>
      <c r="N381" s="166">
        <f t="shared" si="64"/>
        <v>8034.2</v>
      </c>
    </row>
    <row r="382" spans="1:14" s="396" customFormat="1" ht="37.5">
      <c r="A382" s="151"/>
      <c r="B382" s="164" t="s">
        <v>307</v>
      </c>
      <c r="C382" s="165" t="s">
        <v>611</v>
      </c>
      <c r="D382" s="150" t="s">
        <v>125</v>
      </c>
      <c r="E382" s="150" t="s">
        <v>72</v>
      </c>
      <c r="F382" s="744" t="s">
        <v>59</v>
      </c>
      <c r="G382" s="745" t="s">
        <v>65</v>
      </c>
      <c r="H382" s="745" t="s">
        <v>57</v>
      </c>
      <c r="I382" s="746" t="s">
        <v>64</v>
      </c>
      <c r="J382" s="150"/>
      <c r="K382" s="698">
        <f t="shared" si="64"/>
        <v>8034.2</v>
      </c>
      <c r="L382" s="166">
        <f t="shared" si="64"/>
        <v>0</v>
      </c>
      <c r="M382" s="166">
        <f t="shared" si="64"/>
        <v>8034.2</v>
      </c>
      <c r="N382" s="166">
        <f t="shared" si="64"/>
        <v>8034.2</v>
      </c>
    </row>
    <row r="383" spans="1:14" s="396" customFormat="1" ht="133.5" customHeight="1">
      <c r="A383" s="151"/>
      <c r="B383" s="164" t="s">
        <v>323</v>
      </c>
      <c r="C383" s="165" t="s">
        <v>611</v>
      </c>
      <c r="D383" s="150" t="s">
        <v>125</v>
      </c>
      <c r="E383" s="150" t="s">
        <v>72</v>
      </c>
      <c r="F383" s="744" t="s">
        <v>59</v>
      </c>
      <c r="G383" s="745" t="s">
        <v>65</v>
      </c>
      <c r="H383" s="745" t="s">
        <v>57</v>
      </c>
      <c r="I383" s="746" t="s">
        <v>324</v>
      </c>
      <c r="J383" s="150"/>
      <c r="K383" s="698">
        <f>K384+K385</f>
        <v>8034.2</v>
      </c>
      <c r="L383" s="166">
        <f>L384+L385</f>
        <v>0</v>
      </c>
      <c r="M383" s="166">
        <f>M384+M385</f>
        <v>8034.2</v>
      </c>
      <c r="N383" s="166">
        <f>N384+N385</f>
        <v>8034.2</v>
      </c>
    </row>
    <row r="384" spans="1:14" s="396" customFormat="1" ht="56.25">
      <c r="A384" s="151"/>
      <c r="B384" s="164" t="s">
        <v>75</v>
      </c>
      <c r="C384" s="165" t="s">
        <v>611</v>
      </c>
      <c r="D384" s="150" t="s">
        <v>125</v>
      </c>
      <c r="E384" s="150" t="s">
        <v>72</v>
      </c>
      <c r="F384" s="744" t="s">
        <v>59</v>
      </c>
      <c r="G384" s="745" t="s">
        <v>65</v>
      </c>
      <c r="H384" s="745" t="s">
        <v>57</v>
      </c>
      <c r="I384" s="746" t="s">
        <v>324</v>
      </c>
      <c r="J384" s="150" t="s">
        <v>76</v>
      </c>
      <c r="K384" s="698">
        <v>118.7</v>
      </c>
      <c r="L384" s="166">
        <f>M384-K384</f>
        <v>0</v>
      </c>
      <c r="M384" s="166">
        <v>118.7</v>
      </c>
      <c r="N384" s="166">
        <v>118.7</v>
      </c>
    </row>
    <row r="385" spans="1:14" s="396" customFormat="1" ht="37.5">
      <c r="A385" s="151"/>
      <c r="B385" s="168" t="s">
        <v>141</v>
      </c>
      <c r="C385" s="165" t="s">
        <v>611</v>
      </c>
      <c r="D385" s="150" t="s">
        <v>125</v>
      </c>
      <c r="E385" s="150" t="s">
        <v>72</v>
      </c>
      <c r="F385" s="744" t="s">
        <v>59</v>
      </c>
      <c r="G385" s="745" t="s">
        <v>65</v>
      </c>
      <c r="H385" s="745" t="s">
        <v>57</v>
      </c>
      <c r="I385" s="746" t="s">
        <v>324</v>
      </c>
      <c r="J385" s="150" t="s">
        <v>142</v>
      </c>
      <c r="K385" s="698">
        <v>7915.5</v>
      </c>
      <c r="L385" s="166">
        <f>M385-K385</f>
        <v>0</v>
      </c>
      <c r="M385" s="166">
        <v>7915.5</v>
      </c>
      <c r="N385" s="166">
        <v>7915.5</v>
      </c>
    </row>
    <row r="386" spans="1:14" s="398" customFormat="1" ht="18.75">
      <c r="A386" s="151"/>
      <c r="B386" s="164"/>
      <c r="C386" s="165"/>
      <c r="D386" s="150"/>
      <c r="E386" s="150"/>
      <c r="F386" s="744"/>
      <c r="G386" s="745"/>
      <c r="H386" s="745"/>
      <c r="I386" s="746"/>
      <c r="J386" s="150"/>
      <c r="K386" s="698"/>
      <c r="L386" s="166"/>
      <c r="M386" s="166"/>
      <c r="N386" s="166"/>
    </row>
    <row r="387" spans="1:14" s="392" customFormat="1" ht="56.25">
      <c r="A387" s="391">
        <v>6</v>
      </c>
      <c r="B387" s="429" t="s">
        <v>25</v>
      </c>
      <c r="C387" s="159" t="s">
        <v>377</v>
      </c>
      <c r="D387" s="160"/>
      <c r="E387" s="160"/>
      <c r="F387" s="161"/>
      <c r="G387" s="162"/>
      <c r="H387" s="162"/>
      <c r="I387" s="163"/>
      <c r="J387" s="160"/>
      <c r="K387" s="697">
        <f>K394+K409+K388</f>
        <v>91914</v>
      </c>
      <c r="L387" s="189">
        <f>L394+L409+L388</f>
        <v>0</v>
      </c>
      <c r="M387" s="189">
        <f>M394+M409+M388</f>
        <v>91914</v>
      </c>
      <c r="N387" s="189">
        <f>N394+N409+N388</f>
        <v>92030.5</v>
      </c>
    </row>
    <row r="388" spans="1:14" s="392" customFormat="1" ht="18.75">
      <c r="A388" s="391"/>
      <c r="B388" s="164" t="s">
        <v>56</v>
      </c>
      <c r="C388" s="165" t="s">
        <v>377</v>
      </c>
      <c r="D388" s="181" t="s">
        <v>57</v>
      </c>
      <c r="E388" s="160"/>
      <c r="F388" s="161"/>
      <c r="G388" s="162"/>
      <c r="H388" s="162"/>
      <c r="I388" s="163"/>
      <c r="J388" s="160"/>
      <c r="K388" s="698">
        <f t="shared" ref="K388:M391" si="65">K389</f>
        <v>28</v>
      </c>
      <c r="L388" s="583">
        <f t="shared" si="65"/>
        <v>0</v>
      </c>
      <c r="M388" s="583">
        <f t="shared" si="65"/>
        <v>28</v>
      </c>
      <c r="N388" s="583">
        <f t="shared" ref="N388:N391" si="66">N389</f>
        <v>28</v>
      </c>
    </row>
    <row r="389" spans="1:14" s="392" customFormat="1" ht="18.75">
      <c r="A389" s="391"/>
      <c r="B389" s="164" t="s">
        <v>91</v>
      </c>
      <c r="C389" s="165" t="s">
        <v>377</v>
      </c>
      <c r="D389" s="181" t="s">
        <v>57</v>
      </c>
      <c r="E389" s="181" t="s">
        <v>92</v>
      </c>
      <c r="F389" s="161"/>
      <c r="G389" s="162"/>
      <c r="H389" s="162"/>
      <c r="I389" s="163"/>
      <c r="J389" s="160"/>
      <c r="K389" s="698">
        <f t="shared" si="65"/>
        <v>28</v>
      </c>
      <c r="L389" s="583">
        <f t="shared" si="65"/>
        <v>0</v>
      </c>
      <c r="M389" s="583">
        <f t="shared" si="65"/>
        <v>28</v>
      </c>
      <c r="N389" s="583">
        <f t="shared" si="66"/>
        <v>28</v>
      </c>
    </row>
    <row r="390" spans="1:14" s="392" customFormat="1" ht="56.25">
      <c r="A390" s="391"/>
      <c r="B390" s="164" t="s">
        <v>238</v>
      </c>
      <c r="C390" s="165" t="s">
        <v>377</v>
      </c>
      <c r="D390" s="181" t="s">
        <v>57</v>
      </c>
      <c r="E390" s="181" t="s">
        <v>92</v>
      </c>
      <c r="F390" s="580" t="s">
        <v>84</v>
      </c>
      <c r="G390" s="581" t="s">
        <v>50</v>
      </c>
      <c r="H390" s="581" t="s">
        <v>63</v>
      </c>
      <c r="I390" s="582" t="s">
        <v>64</v>
      </c>
      <c r="J390" s="160"/>
      <c r="K390" s="698">
        <f t="shared" si="65"/>
        <v>28</v>
      </c>
      <c r="L390" s="583">
        <f t="shared" si="65"/>
        <v>0</v>
      </c>
      <c r="M390" s="583">
        <f t="shared" si="65"/>
        <v>28</v>
      </c>
      <c r="N390" s="583">
        <f t="shared" si="66"/>
        <v>28</v>
      </c>
    </row>
    <row r="391" spans="1:14" s="392" customFormat="1" ht="37.5">
      <c r="A391" s="391"/>
      <c r="B391" s="164" t="s">
        <v>428</v>
      </c>
      <c r="C391" s="165" t="s">
        <v>377</v>
      </c>
      <c r="D391" s="181" t="s">
        <v>57</v>
      </c>
      <c r="E391" s="181" t="s">
        <v>92</v>
      </c>
      <c r="F391" s="580" t="s">
        <v>84</v>
      </c>
      <c r="G391" s="581" t="s">
        <v>50</v>
      </c>
      <c r="H391" s="581" t="s">
        <v>59</v>
      </c>
      <c r="I391" s="582" t="s">
        <v>64</v>
      </c>
      <c r="J391" s="160"/>
      <c r="K391" s="698">
        <f t="shared" si="65"/>
        <v>28</v>
      </c>
      <c r="L391" s="583">
        <f t="shared" si="65"/>
        <v>0</v>
      </c>
      <c r="M391" s="583">
        <f t="shared" si="65"/>
        <v>28</v>
      </c>
      <c r="N391" s="583">
        <f t="shared" si="66"/>
        <v>28</v>
      </c>
    </row>
    <row r="392" spans="1:14" s="392" customFormat="1" ht="75">
      <c r="A392" s="391"/>
      <c r="B392" s="164" t="s">
        <v>429</v>
      </c>
      <c r="C392" s="165" t="s">
        <v>377</v>
      </c>
      <c r="D392" s="181" t="s">
        <v>57</v>
      </c>
      <c r="E392" s="181" t="s">
        <v>92</v>
      </c>
      <c r="F392" s="580" t="s">
        <v>84</v>
      </c>
      <c r="G392" s="581" t="s">
        <v>50</v>
      </c>
      <c r="H392" s="581" t="s">
        <v>59</v>
      </c>
      <c r="I392" s="582" t="s">
        <v>126</v>
      </c>
      <c r="J392" s="160"/>
      <c r="K392" s="698">
        <f>K393</f>
        <v>28</v>
      </c>
      <c r="L392" s="583">
        <f>L393</f>
        <v>0</v>
      </c>
      <c r="M392" s="583">
        <f>M393</f>
        <v>28</v>
      </c>
      <c r="N392" s="583">
        <f>N393</f>
        <v>28</v>
      </c>
    </row>
    <row r="393" spans="1:14" s="392" customFormat="1" ht="56.25">
      <c r="A393" s="391"/>
      <c r="B393" s="164" t="s">
        <v>75</v>
      </c>
      <c r="C393" s="165" t="s">
        <v>377</v>
      </c>
      <c r="D393" s="181" t="s">
        <v>57</v>
      </c>
      <c r="E393" s="181" t="s">
        <v>92</v>
      </c>
      <c r="F393" s="580" t="s">
        <v>84</v>
      </c>
      <c r="G393" s="581" t="s">
        <v>50</v>
      </c>
      <c r="H393" s="581" t="s">
        <v>59</v>
      </c>
      <c r="I393" s="582" t="s">
        <v>126</v>
      </c>
      <c r="J393" s="181" t="s">
        <v>76</v>
      </c>
      <c r="K393" s="698">
        <v>28</v>
      </c>
      <c r="L393" s="166">
        <f>M393-K393</f>
        <v>0</v>
      </c>
      <c r="M393" s="583">
        <v>28</v>
      </c>
      <c r="N393" s="583">
        <v>28</v>
      </c>
    </row>
    <row r="394" spans="1:14" s="147" customFormat="1" ht="18.75">
      <c r="A394" s="151"/>
      <c r="B394" s="170" t="s">
        <v>201</v>
      </c>
      <c r="C394" s="165" t="s">
        <v>377</v>
      </c>
      <c r="D394" s="150" t="s">
        <v>246</v>
      </c>
      <c r="E394" s="150"/>
      <c r="F394" s="744"/>
      <c r="G394" s="745"/>
      <c r="H394" s="745"/>
      <c r="I394" s="746"/>
      <c r="J394" s="150"/>
      <c r="K394" s="698">
        <f>K395+K403</f>
        <v>57999.199999999997</v>
      </c>
      <c r="L394" s="166">
        <f>L395+L403</f>
        <v>0</v>
      </c>
      <c r="M394" s="166">
        <f>M395+M403</f>
        <v>57999.199999999997</v>
      </c>
      <c r="N394" s="166">
        <f>N395+N403</f>
        <v>58023.9</v>
      </c>
    </row>
    <row r="395" spans="1:14" s="392" customFormat="1" ht="18.75">
      <c r="A395" s="151"/>
      <c r="B395" s="170" t="s">
        <v>424</v>
      </c>
      <c r="C395" s="165" t="s">
        <v>377</v>
      </c>
      <c r="D395" s="150" t="s">
        <v>246</v>
      </c>
      <c r="E395" s="150" t="s">
        <v>84</v>
      </c>
      <c r="F395" s="744"/>
      <c r="G395" s="745"/>
      <c r="H395" s="745"/>
      <c r="I395" s="746"/>
      <c r="J395" s="150"/>
      <c r="K395" s="698">
        <f t="shared" ref="K395:N395" si="67">K396</f>
        <v>57721.299999999996</v>
      </c>
      <c r="L395" s="166">
        <f t="shared" si="67"/>
        <v>0</v>
      </c>
      <c r="M395" s="166">
        <f t="shared" si="67"/>
        <v>57721.299999999996</v>
      </c>
      <c r="N395" s="166">
        <f t="shared" si="67"/>
        <v>57746</v>
      </c>
    </row>
    <row r="396" spans="1:14" s="392" customFormat="1" ht="56.25">
      <c r="A396" s="151"/>
      <c r="B396" s="170" t="s">
        <v>235</v>
      </c>
      <c r="C396" s="165" t="s">
        <v>377</v>
      </c>
      <c r="D396" s="150" t="s">
        <v>246</v>
      </c>
      <c r="E396" s="150" t="s">
        <v>84</v>
      </c>
      <c r="F396" s="744" t="s">
        <v>84</v>
      </c>
      <c r="G396" s="745" t="s">
        <v>62</v>
      </c>
      <c r="H396" s="745" t="s">
        <v>63</v>
      </c>
      <c r="I396" s="746" t="s">
        <v>64</v>
      </c>
      <c r="J396" s="150"/>
      <c r="K396" s="698">
        <f>K397+K423</f>
        <v>57721.299999999996</v>
      </c>
      <c r="L396" s="166">
        <f>L397+L423</f>
        <v>0</v>
      </c>
      <c r="M396" s="166">
        <f>M397+M423</f>
        <v>57721.299999999996</v>
      </c>
      <c r="N396" s="166">
        <f>N397+N423</f>
        <v>57746</v>
      </c>
    </row>
    <row r="397" spans="1:14" s="392" customFormat="1" ht="75">
      <c r="A397" s="151"/>
      <c r="B397" s="170" t="s">
        <v>236</v>
      </c>
      <c r="C397" s="165" t="s">
        <v>377</v>
      </c>
      <c r="D397" s="150" t="s">
        <v>246</v>
      </c>
      <c r="E397" s="150" t="s">
        <v>84</v>
      </c>
      <c r="F397" s="744" t="s">
        <v>84</v>
      </c>
      <c r="G397" s="745" t="s">
        <v>65</v>
      </c>
      <c r="H397" s="745" t="s">
        <v>63</v>
      </c>
      <c r="I397" s="746" t="s">
        <v>64</v>
      </c>
      <c r="J397" s="150"/>
      <c r="K397" s="698">
        <f t="shared" ref="K397:N399" si="68">K398</f>
        <v>57661.299999999996</v>
      </c>
      <c r="L397" s="166">
        <f t="shared" si="68"/>
        <v>0</v>
      </c>
      <c r="M397" s="166">
        <f t="shared" si="68"/>
        <v>57661.299999999996</v>
      </c>
      <c r="N397" s="166">
        <f t="shared" si="68"/>
        <v>57688.1</v>
      </c>
    </row>
    <row r="398" spans="1:14" s="392" customFormat="1" ht="37.5">
      <c r="A398" s="151"/>
      <c r="B398" s="170" t="s">
        <v>316</v>
      </c>
      <c r="C398" s="165" t="s">
        <v>377</v>
      </c>
      <c r="D398" s="150" t="s">
        <v>246</v>
      </c>
      <c r="E398" s="150" t="s">
        <v>84</v>
      </c>
      <c r="F398" s="744" t="s">
        <v>84</v>
      </c>
      <c r="G398" s="745" t="s">
        <v>65</v>
      </c>
      <c r="H398" s="745" t="s">
        <v>57</v>
      </c>
      <c r="I398" s="746" t="s">
        <v>64</v>
      </c>
      <c r="J398" s="150"/>
      <c r="K398" s="698">
        <f>K399+K401</f>
        <v>57661.299999999996</v>
      </c>
      <c r="L398" s="166">
        <f>L399+L401</f>
        <v>0</v>
      </c>
      <c r="M398" s="166">
        <f>M399+M401</f>
        <v>57661.299999999996</v>
      </c>
      <c r="N398" s="166">
        <f>N399+N401</f>
        <v>57688.1</v>
      </c>
    </row>
    <row r="399" spans="1:14" s="392" customFormat="1" ht="42" customHeight="1">
      <c r="A399" s="151"/>
      <c r="B399" s="304" t="s">
        <v>800</v>
      </c>
      <c r="C399" s="165" t="s">
        <v>377</v>
      </c>
      <c r="D399" s="150" t="s">
        <v>246</v>
      </c>
      <c r="E399" s="150" t="s">
        <v>84</v>
      </c>
      <c r="F399" s="744" t="s">
        <v>84</v>
      </c>
      <c r="G399" s="745" t="s">
        <v>65</v>
      </c>
      <c r="H399" s="745" t="s">
        <v>57</v>
      </c>
      <c r="I399" s="746" t="s">
        <v>112</v>
      </c>
      <c r="J399" s="150"/>
      <c r="K399" s="698">
        <f t="shared" si="68"/>
        <v>56386.6</v>
      </c>
      <c r="L399" s="166">
        <f t="shared" si="68"/>
        <v>0</v>
      </c>
      <c r="M399" s="166">
        <f t="shared" si="68"/>
        <v>56386.6</v>
      </c>
      <c r="N399" s="166">
        <f t="shared" si="68"/>
        <v>56413.4</v>
      </c>
    </row>
    <row r="400" spans="1:14" s="147" customFormat="1" ht="56.25">
      <c r="A400" s="151"/>
      <c r="B400" s="168" t="s">
        <v>97</v>
      </c>
      <c r="C400" s="165" t="s">
        <v>377</v>
      </c>
      <c r="D400" s="150" t="s">
        <v>246</v>
      </c>
      <c r="E400" s="150" t="s">
        <v>84</v>
      </c>
      <c r="F400" s="744" t="s">
        <v>84</v>
      </c>
      <c r="G400" s="745" t="s">
        <v>65</v>
      </c>
      <c r="H400" s="745" t="s">
        <v>57</v>
      </c>
      <c r="I400" s="746" t="s">
        <v>112</v>
      </c>
      <c r="J400" s="150" t="s">
        <v>98</v>
      </c>
      <c r="K400" s="698">
        <v>56386.6</v>
      </c>
      <c r="L400" s="166">
        <f>M400-K400</f>
        <v>0</v>
      </c>
      <c r="M400" s="166">
        <v>56386.6</v>
      </c>
      <c r="N400" s="166">
        <v>56413.4</v>
      </c>
    </row>
    <row r="401" spans="1:14" s="147" customFormat="1" ht="37.5">
      <c r="A401" s="151"/>
      <c r="B401" s="168" t="s">
        <v>378</v>
      </c>
      <c r="C401" s="165" t="s">
        <v>377</v>
      </c>
      <c r="D401" s="150" t="s">
        <v>246</v>
      </c>
      <c r="E401" s="150" t="s">
        <v>84</v>
      </c>
      <c r="F401" s="744" t="s">
        <v>84</v>
      </c>
      <c r="G401" s="745" t="s">
        <v>65</v>
      </c>
      <c r="H401" s="745" t="s">
        <v>57</v>
      </c>
      <c r="I401" s="746" t="s">
        <v>379</v>
      </c>
      <c r="J401" s="150"/>
      <c r="K401" s="698">
        <f>K402</f>
        <v>1274.7</v>
      </c>
      <c r="L401" s="166">
        <f>L402</f>
        <v>0</v>
      </c>
      <c r="M401" s="166">
        <f>M402</f>
        <v>1274.7</v>
      </c>
      <c r="N401" s="166">
        <f>N402</f>
        <v>1274.7</v>
      </c>
    </row>
    <row r="402" spans="1:14" s="147" customFormat="1" ht="56.25">
      <c r="A402" s="151"/>
      <c r="B402" s="168" t="s">
        <v>97</v>
      </c>
      <c r="C402" s="165" t="s">
        <v>377</v>
      </c>
      <c r="D402" s="150" t="s">
        <v>246</v>
      </c>
      <c r="E402" s="150" t="s">
        <v>84</v>
      </c>
      <c r="F402" s="744" t="s">
        <v>84</v>
      </c>
      <c r="G402" s="745" t="s">
        <v>65</v>
      </c>
      <c r="H402" s="745" t="s">
        <v>57</v>
      </c>
      <c r="I402" s="746" t="s">
        <v>379</v>
      </c>
      <c r="J402" s="150" t="s">
        <v>98</v>
      </c>
      <c r="K402" s="698">
        <v>1274.7</v>
      </c>
      <c r="L402" s="166">
        <f>M402-K402</f>
        <v>0</v>
      </c>
      <c r="M402" s="166">
        <v>1274.7</v>
      </c>
      <c r="N402" s="166">
        <v>1274.7</v>
      </c>
    </row>
    <row r="403" spans="1:14" s="147" customFormat="1" ht="18.75">
      <c r="A403" s="151"/>
      <c r="B403" s="168" t="s">
        <v>815</v>
      </c>
      <c r="C403" s="165" t="s">
        <v>377</v>
      </c>
      <c r="D403" s="150" t="s">
        <v>246</v>
      </c>
      <c r="E403" s="150" t="s">
        <v>246</v>
      </c>
      <c r="F403" s="744"/>
      <c r="G403" s="745"/>
      <c r="H403" s="745"/>
      <c r="I403" s="746"/>
      <c r="J403" s="150"/>
      <c r="K403" s="698">
        <f t="shared" ref="K403:M406" si="69">K404</f>
        <v>277.89999999999998</v>
      </c>
      <c r="L403" s="166">
        <f t="shared" si="69"/>
        <v>0</v>
      </c>
      <c r="M403" s="166">
        <f t="shared" si="69"/>
        <v>277.89999999999998</v>
      </c>
      <c r="N403" s="166">
        <f t="shared" ref="N403:N406" si="70">N404</f>
        <v>277.89999999999998</v>
      </c>
    </row>
    <row r="404" spans="1:14" s="147" customFormat="1" ht="56.25">
      <c r="A404" s="151"/>
      <c r="B404" s="170" t="s">
        <v>235</v>
      </c>
      <c r="C404" s="165" t="s">
        <v>377</v>
      </c>
      <c r="D404" s="150" t="s">
        <v>246</v>
      </c>
      <c r="E404" s="150" t="s">
        <v>246</v>
      </c>
      <c r="F404" s="744" t="s">
        <v>84</v>
      </c>
      <c r="G404" s="745" t="s">
        <v>62</v>
      </c>
      <c r="H404" s="745" t="s">
        <v>63</v>
      </c>
      <c r="I404" s="746" t="s">
        <v>64</v>
      </c>
      <c r="J404" s="150"/>
      <c r="K404" s="698">
        <f t="shared" si="69"/>
        <v>277.89999999999998</v>
      </c>
      <c r="L404" s="166">
        <f t="shared" si="69"/>
        <v>0</v>
      </c>
      <c r="M404" s="166">
        <f t="shared" si="69"/>
        <v>277.89999999999998</v>
      </c>
      <c r="N404" s="166">
        <f t="shared" si="70"/>
        <v>277.89999999999998</v>
      </c>
    </row>
    <row r="405" spans="1:14" s="147" customFormat="1" ht="75">
      <c r="A405" s="151"/>
      <c r="B405" s="170" t="s">
        <v>236</v>
      </c>
      <c r="C405" s="165" t="s">
        <v>377</v>
      </c>
      <c r="D405" s="150" t="s">
        <v>246</v>
      </c>
      <c r="E405" s="150" t="s">
        <v>246</v>
      </c>
      <c r="F405" s="744" t="s">
        <v>84</v>
      </c>
      <c r="G405" s="745" t="s">
        <v>65</v>
      </c>
      <c r="H405" s="745" t="s">
        <v>63</v>
      </c>
      <c r="I405" s="746" t="s">
        <v>64</v>
      </c>
      <c r="J405" s="150"/>
      <c r="K405" s="698">
        <f t="shared" si="69"/>
        <v>277.89999999999998</v>
      </c>
      <c r="L405" s="166">
        <f t="shared" si="69"/>
        <v>0</v>
      </c>
      <c r="M405" s="166">
        <f t="shared" si="69"/>
        <v>277.89999999999998</v>
      </c>
      <c r="N405" s="166">
        <f t="shared" si="70"/>
        <v>277.89999999999998</v>
      </c>
    </row>
    <row r="406" spans="1:14" s="147" customFormat="1" ht="58.5" customHeight="1">
      <c r="A406" s="151"/>
      <c r="B406" s="168" t="s">
        <v>321</v>
      </c>
      <c r="C406" s="165" t="s">
        <v>377</v>
      </c>
      <c r="D406" s="150" t="s">
        <v>246</v>
      </c>
      <c r="E406" s="150" t="s">
        <v>246</v>
      </c>
      <c r="F406" s="744" t="s">
        <v>84</v>
      </c>
      <c r="G406" s="745" t="s">
        <v>65</v>
      </c>
      <c r="H406" s="745" t="s">
        <v>86</v>
      </c>
      <c r="I406" s="746" t="s">
        <v>64</v>
      </c>
      <c r="J406" s="150"/>
      <c r="K406" s="698">
        <f t="shared" si="69"/>
        <v>277.89999999999998</v>
      </c>
      <c r="L406" s="166">
        <f t="shared" si="69"/>
        <v>0</v>
      </c>
      <c r="M406" s="166">
        <f t="shared" si="69"/>
        <v>277.89999999999998</v>
      </c>
      <c r="N406" s="166">
        <f t="shared" si="70"/>
        <v>277.89999999999998</v>
      </c>
    </row>
    <row r="407" spans="1:14" s="147" customFormat="1" ht="37.5">
      <c r="A407" s="151"/>
      <c r="B407" s="168" t="s">
        <v>817</v>
      </c>
      <c r="C407" s="165" t="s">
        <v>377</v>
      </c>
      <c r="D407" s="150" t="s">
        <v>246</v>
      </c>
      <c r="E407" s="150" t="s">
        <v>246</v>
      </c>
      <c r="F407" s="744" t="s">
        <v>84</v>
      </c>
      <c r="G407" s="745" t="s">
        <v>65</v>
      </c>
      <c r="H407" s="745" t="s">
        <v>86</v>
      </c>
      <c r="I407" s="746" t="s">
        <v>816</v>
      </c>
      <c r="J407" s="150"/>
      <c r="K407" s="698">
        <f>K408</f>
        <v>277.89999999999998</v>
      </c>
      <c r="L407" s="166">
        <f>L408</f>
        <v>0</v>
      </c>
      <c r="M407" s="166">
        <f>M408</f>
        <v>277.89999999999998</v>
      </c>
      <c r="N407" s="166">
        <f>N408</f>
        <v>277.89999999999998</v>
      </c>
    </row>
    <row r="408" spans="1:14" s="147" customFormat="1" ht="56.25">
      <c r="A408" s="151"/>
      <c r="B408" s="168" t="s">
        <v>97</v>
      </c>
      <c r="C408" s="165" t="s">
        <v>377</v>
      </c>
      <c r="D408" s="150" t="s">
        <v>246</v>
      </c>
      <c r="E408" s="150" t="s">
        <v>246</v>
      </c>
      <c r="F408" s="744" t="s">
        <v>84</v>
      </c>
      <c r="G408" s="745" t="s">
        <v>65</v>
      </c>
      <c r="H408" s="745" t="s">
        <v>86</v>
      </c>
      <c r="I408" s="746" t="s">
        <v>816</v>
      </c>
      <c r="J408" s="150" t="s">
        <v>98</v>
      </c>
      <c r="K408" s="698">
        <f>277.9</f>
        <v>277.89999999999998</v>
      </c>
      <c r="L408" s="166">
        <f>M408-K408</f>
        <v>0</v>
      </c>
      <c r="M408" s="166">
        <f>277.9</f>
        <v>277.89999999999998</v>
      </c>
      <c r="N408" s="166">
        <v>277.89999999999998</v>
      </c>
    </row>
    <row r="409" spans="1:14" s="147" customFormat="1" ht="18.75">
      <c r="A409" s="151"/>
      <c r="B409" s="164" t="s">
        <v>210</v>
      </c>
      <c r="C409" s="165" t="s">
        <v>377</v>
      </c>
      <c r="D409" s="150" t="s">
        <v>248</v>
      </c>
      <c r="E409" s="150"/>
      <c r="F409" s="744"/>
      <c r="G409" s="745"/>
      <c r="H409" s="745"/>
      <c r="I409" s="746"/>
      <c r="J409" s="150"/>
      <c r="K409" s="698">
        <f>K410+K429</f>
        <v>33886.800000000003</v>
      </c>
      <c r="L409" s="166">
        <f>L410+L429</f>
        <v>0</v>
      </c>
      <c r="M409" s="166">
        <f>M410+M429</f>
        <v>33886.800000000003</v>
      </c>
      <c r="N409" s="166">
        <f>N410+N429</f>
        <v>33978.600000000006</v>
      </c>
    </row>
    <row r="410" spans="1:14" s="147" customFormat="1" ht="18.75">
      <c r="A410" s="151"/>
      <c r="B410" s="164" t="s">
        <v>212</v>
      </c>
      <c r="C410" s="165" t="s">
        <v>377</v>
      </c>
      <c r="D410" s="150" t="s">
        <v>248</v>
      </c>
      <c r="E410" s="150" t="s">
        <v>57</v>
      </c>
      <c r="F410" s="744"/>
      <c r="G410" s="745"/>
      <c r="H410" s="745"/>
      <c r="I410" s="746"/>
      <c r="J410" s="150"/>
      <c r="K410" s="698">
        <f t="shared" ref="K410:N411" si="71">K411</f>
        <v>24640.7</v>
      </c>
      <c r="L410" s="166">
        <f t="shared" si="71"/>
        <v>0</v>
      </c>
      <c r="M410" s="166">
        <f t="shared" si="71"/>
        <v>24640.7</v>
      </c>
      <c r="N410" s="166">
        <f t="shared" si="71"/>
        <v>24674.7</v>
      </c>
    </row>
    <row r="411" spans="1:14" s="147" customFormat="1" ht="56.25">
      <c r="A411" s="151"/>
      <c r="B411" s="170" t="s">
        <v>235</v>
      </c>
      <c r="C411" s="165" t="s">
        <v>377</v>
      </c>
      <c r="D411" s="150" t="s">
        <v>248</v>
      </c>
      <c r="E411" s="150" t="s">
        <v>57</v>
      </c>
      <c r="F411" s="744" t="s">
        <v>84</v>
      </c>
      <c r="G411" s="745" t="s">
        <v>62</v>
      </c>
      <c r="H411" s="745" t="s">
        <v>63</v>
      </c>
      <c r="I411" s="746" t="s">
        <v>64</v>
      </c>
      <c r="J411" s="150"/>
      <c r="K411" s="698">
        <f t="shared" si="71"/>
        <v>24640.7</v>
      </c>
      <c r="L411" s="166">
        <f t="shared" si="71"/>
        <v>0</v>
      </c>
      <c r="M411" s="166">
        <f t="shared" si="71"/>
        <v>24640.7</v>
      </c>
      <c r="N411" s="166">
        <f t="shared" si="71"/>
        <v>24674.7</v>
      </c>
    </row>
    <row r="412" spans="1:14" s="147" customFormat="1" ht="75">
      <c r="A412" s="151"/>
      <c r="B412" s="170" t="s">
        <v>236</v>
      </c>
      <c r="C412" s="165" t="s">
        <v>377</v>
      </c>
      <c r="D412" s="150" t="s">
        <v>248</v>
      </c>
      <c r="E412" s="150" t="s">
        <v>57</v>
      </c>
      <c r="F412" s="180" t="s">
        <v>84</v>
      </c>
      <c r="G412" s="321" t="s">
        <v>65</v>
      </c>
      <c r="H412" s="321" t="s">
        <v>63</v>
      </c>
      <c r="I412" s="322" t="s">
        <v>64</v>
      </c>
      <c r="J412" s="323"/>
      <c r="K412" s="698">
        <f>K413+K418</f>
        <v>24640.7</v>
      </c>
      <c r="L412" s="166">
        <f>L413+L418</f>
        <v>0</v>
      </c>
      <c r="M412" s="166">
        <f>M413+M418</f>
        <v>24640.7</v>
      </c>
      <c r="N412" s="166">
        <f>N413+N418</f>
        <v>24674.7</v>
      </c>
    </row>
    <row r="413" spans="1:14" s="147" customFormat="1" ht="18.75">
      <c r="A413" s="151"/>
      <c r="B413" s="164" t="s">
        <v>380</v>
      </c>
      <c r="C413" s="165" t="s">
        <v>377</v>
      </c>
      <c r="D413" s="150" t="s">
        <v>248</v>
      </c>
      <c r="E413" s="150" t="s">
        <v>57</v>
      </c>
      <c r="F413" s="180" t="s">
        <v>84</v>
      </c>
      <c r="G413" s="321" t="s">
        <v>65</v>
      </c>
      <c r="H413" s="321" t="s">
        <v>84</v>
      </c>
      <c r="I413" s="322" t="s">
        <v>64</v>
      </c>
      <c r="J413" s="323"/>
      <c r="K413" s="698">
        <f t="shared" ref="K413" si="72">K414+K416</f>
        <v>11645.9</v>
      </c>
      <c r="L413" s="166">
        <f t="shared" ref="L413" si="73">L414+L416</f>
        <v>0</v>
      </c>
      <c r="M413" s="166">
        <f t="shared" ref="M413:N413" si="74">M414+M416</f>
        <v>11645.9</v>
      </c>
      <c r="N413" s="166">
        <f t="shared" si="74"/>
        <v>11655.5</v>
      </c>
    </row>
    <row r="414" spans="1:14" s="147" customFormat="1" ht="41.25" customHeight="1">
      <c r="A414" s="151"/>
      <c r="B414" s="304" t="s">
        <v>800</v>
      </c>
      <c r="C414" s="165" t="s">
        <v>377</v>
      </c>
      <c r="D414" s="150" t="s">
        <v>248</v>
      </c>
      <c r="E414" s="150" t="s">
        <v>57</v>
      </c>
      <c r="F414" s="180" t="s">
        <v>84</v>
      </c>
      <c r="G414" s="321" t="s">
        <v>65</v>
      </c>
      <c r="H414" s="321" t="s">
        <v>84</v>
      </c>
      <c r="I414" s="322" t="s">
        <v>112</v>
      </c>
      <c r="J414" s="323"/>
      <c r="K414" s="698">
        <f>K415</f>
        <v>11498.5</v>
      </c>
      <c r="L414" s="166">
        <f>L415</f>
        <v>0</v>
      </c>
      <c r="M414" s="166">
        <f>M415</f>
        <v>11498.5</v>
      </c>
      <c r="N414" s="166">
        <f>N415</f>
        <v>11508.1</v>
      </c>
    </row>
    <row r="415" spans="1:14" s="147" customFormat="1" ht="56.25">
      <c r="A415" s="151"/>
      <c r="B415" s="168" t="s">
        <v>97</v>
      </c>
      <c r="C415" s="165" t="s">
        <v>377</v>
      </c>
      <c r="D415" s="150" t="s">
        <v>248</v>
      </c>
      <c r="E415" s="150" t="s">
        <v>57</v>
      </c>
      <c r="F415" s="744" t="s">
        <v>84</v>
      </c>
      <c r="G415" s="745" t="s">
        <v>65</v>
      </c>
      <c r="H415" s="745" t="s">
        <v>84</v>
      </c>
      <c r="I415" s="746" t="s">
        <v>112</v>
      </c>
      <c r="J415" s="150" t="s">
        <v>98</v>
      </c>
      <c r="K415" s="698">
        <v>11498.5</v>
      </c>
      <c r="L415" s="166">
        <f>M415-K415</f>
        <v>0</v>
      </c>
      <c r="M415" s="166">
        <v>11498.5</v>
      </c>
      <c r="N415" s="166">
        <v>11508.1</v>
      </c>
    </row>
    <row r="416" spans="1:14" s="147" customFormat="1" ht="37.5">
      <c r="A416" s="151"/>
      <c r="B416" s="168" t="s">
        <v>378</v>
      </c>
      <c r="C416" s="165" t="s">
        <v>377</v>
      </c>
      <c r="D416" s="150" t="s">
        <v>248</v>
      </c>
      <c r="E416" s="150" t="s">
        <v>57</v>
      </c>
      <c r="F416" s="744" t="s">
        <v>84</v>
      </c>
      <c r="G416" s="745" t="s">
        <v>65</v>
      </c>
      <c r="H416" s="745" t="s">
        <v>84</v>
      </c>
      <c r="I416" s="746" t="s">
        <v>379</v>
      </c>
      <c r="J416" s="150"/>
      <c r="K416" s="698">
        <f>K417</f>
        <v>147.4</v>
      </c>
      <c r="L416" s="166">
        <f>L417</f>
        <v>0</v>
      </c>
      <c r="M416" s="166">
        <f>M417</f>
        <v>147.4</v>
      </c>
      <c r="N416" s="166">
        <f>N417</f>
        <v>147.4</v>
      </c>
    </row>
    <row r="417" spans="1:14" s="147" customFormat="1" ht="56.25">
      <c r="A417" s="151"/>
      <c r="B417" s="168" t="s">
        <v>97</v>
      </c>
      <c r="C417" s="165" t="s">
        <v>377</v>
      </c>
      <c r="D417" s="150" t="s">
        <v>248</v>
      </c>
      <c r="E417" s="150" t="s">
        <v>57</v>
      </c>
      <c r="F417" s="744" t="s">
        <v>84</v>
      </c>
      <c r="G417" s="745" t="s">
        <v>65</v>
      </c>
      <c r="H417" s="745" t="s">
        <v>84</v>
      </c>
      <c r="I417" s="746" t="s">
        <v>379</v>
      </c>
      <c r="J417" s="150" t="s">
        <v>98</v>
      </c>
      <c r="K417" s="698">
        <v>147.4</v>
      </c>
      <c r="L417" s="166">
        <f>M417-K417</f>
        <v>0</v>
      </c>
      <c r="M417" s="166">
        <v>147.4</v>
      </c>
      <c r="N417" s="166">
        <v>147.4</v>
      </c>
    </row>
    <row r="418" spans="1:14" s="147" customFormat="1" ht="37.5">
      <c r="A418" s="151"/>
      <c r="B418" s="168" t="s">
        <v>382</v>
      </c>
      <c r="C418" s="165" t="s">
        <v>377</v>
      </c>
      <c r="D418" s="150" t="s">
        <v>248</v>
      </c>
      <c r="E418" s="150" t="s">
        <v>57</v>
      </c>
      <c r="F418" s="180" t="s">
        <v>84</v>
      </c>
      <c r="G418" s="321" t="s">
        <v>65</v>
      </c>
      <c r="H418" s="321" t="s">
        <v>72</v>
      </c>
      <c r="I418" s="746" t="s">
        <v>64</v>
      </c>
      <c r="J418" s="150"/>
      <c r="K418" s="698">
        <f>K419</f>
        <v>12994.800000000001</v>
      </c>
      <c r="L418" s="166">
        <f>L419</f>
        <v>0</v>
      </c>
      <c r="M418" s="166">
        <f>M419</f>
        <v>12994.800000000001</v>
      </c>
      <c r="N418" s="166">
        <f>N419</f>
        <v>13019.2</v>
      </c>
    </row>
    <row r="419" spans="1:14" s="147" customFormat="1" ht="37.5" customHeight="1">
      <c r="A419" s="151"/>
      <c r="B419" s="304" t="s">
        <v>800</v>
      </c>
      <c r="C419" s="165" t="s">
        <v>377</v>
      </c>
      <c r="D419" s="150" t="s">
        <v>248</v>
      </c>
      <c r="E419" s="150" t="s">
        <v>57</v>
      </c>
      <c r="F419" s="180" t="s">
        <v>84</v>
      </c>
      <c r="G419" s="321" t="s">
        <v>65</v>
      </c>
      <c r="H419" s="321" t="s">
        <v>72</v>
      </c>
      <c r="I419" s="322" t="s">
        <v>112</v>
      </c>
      <c r="J419" s="323"/>
      <c r="K419" s="698">
        <f>K420+K421+K422</f>
        <v>12994.800000000001</v>
      </c>
      <c r="L419" s="166">
        <f>L420+L421+L422</f>
        <v>0</v>
      </c>
      <c r="M419" s="166">
        <f>M420+M421+M422</f>
        <v>12994.800000000001</v>
      </c>
      <c r="N419" s="166">
        <f>N420+N421+N422</f>
        <v>13019.2</v>
      </c>
    </row>
    <row r="420" spans="1:14" s="147" customFormat="1" ht="112.5">
      <c r="A420" s="151"/>
      <c r="B420" s="164" t="s">
        <v>69</v>
      </c>
      <c r="C420" s="165" t="s">
        <v>377</v>
      </c>
      <c r="D420" s="150" t="s">
        <v>248</v>
      </c>
      <c r="E420" s="150" t="s">
        <v>57</v>
      </c>
      <c r="F420" s="744" t="s">
        <v>84</v>
      </c>
      <c r="G420" s="745" t="s">
        <v>65</v>
      </c>
      <c r="H420" s="745" t="s">
        <v>72</v>
      </c>
      <c r="I420" s="746" t="s">
        <v>112</v>
      </c>
      <c r="J420" s="150" t="s">
        <v>70</v>
      </c>
      <c r="K420" s="698">
        <v>11426.1</v>
      </c>
      <c r="L420" s="166">
        <f>M420-K420</f>
        <v>0</v>
      </c>
      <c r="M420" s="166">
        <v>11426.1</v>
      </c>
      <c r="N420" s="166">
        <v>11426.1</v>
      </c>
    </row>
    <row r="421" spans="1:14" s="147" customFormat="1" ht="56.25">
      <c r="A421" s="151"/>
      <c r="B421" s="164" t="s">
        <v>75</v>
      </c>
      <c r="C421" s="165" t="s">
        <v>377</v>
      </c>
      <c r="D421" s="150" t="s">
        <v>248</v>
      </c>
      <c r="E421" s="150" t="s">
        <v>57</v>
      </c>
      <c r="F421" s="744" t="s">
        <v>84</v>
      </c>
      <c r="G421" s="745" t="s">
        <v>65</v>
      </c>
      <c r="H421" s="745" t="s">
        <v>72</v>
      </c>
      <c r="I421" s="746" t="s">
        <v>112</v>
      </c>
      <c r="J421" s="150" t="s">
        <v>76</v>
      </c>
      <c r="K421" s="698">
        <v>1554.1</v>
      </c>
      <c r="L421" s="166">
        <f>M421-K421</f>
        <v>0</v>
      </c>
      <c r="M421" s="166">
        <v>1554.1</v>
      </c>
      <c r="N421" s="166">
        <v>1578.5</v>
      </c>
    </row>
    <row r="422" spans="1:14" s="147" customFormat="1" ht="18.75">
      <c r="A422" s="151"/>
      <c r="B422" s="164" t="s">
        <v>77</v>
      </c>
      <c r="C422" s="165" t="s">
        <v>377</v>
      </c>
      <c r="D422" s="150" t="s">
        <v>248</v>
      </c>
      <c r="E422" s="150" t="s">
        <v>57</v>
      </c>
      <c r="F422" s="744" t="s">
        <v>84</v>
      </c>
      <c r="G422" s="745" t="s">
        <v>65</v>
      </c>
      <c r="H422" s="745" t="s">
        <v>72</v>
      </c>
      <c r="I422" s="746" t="s">
        <v>112</v>
      </c>
      <c r="J422" s="150" t="s">
        <v>78</v>
      </c>
      <c r="K422" s="698">
        <v>14.6</v>
      </c>
      <c r="L422" s="166">
        <f>M422-K422</f>
        <v>0</v>
      </c>
      <c r="M422" s="166">
        <v>14.6</v>
      </c>
      <c r="N422" s="166">
        <v>14.6</v>
      </c>
    </row>
    <row r="423" spans="1:14" s="147" customFormat="1" ht="42" customHeight="1">
      <c r="A423" s="151"/>
      <c r="B423" s="164" t="s">
        <v>391</v>
      </c>
      <c r="C423" s="165" t="s">
        <v>377</v>
      </c>
      <c r="D423" s="150" t="s">
        <v>248</v>
      </c>
      <c r="E423" s="150" t="s">
        <v>57</v>
      </c>
      <c r="F423" s="180" t="s">
        <v>84</v>
      </c>
      <c r="G423" s="321" t="s">
        <v>110</v>
      </c>
      <c r="H423" s="321" t="s">
        <v>63</v>
      </c>
      <c r="I423" s="746" t="s">
        <v>64</v>
      </c>
      <c r="J423" s="150"/>
      <c r="K423" s="698">
        <f t="shared" ref="K423:N427" si="75">K424</f>
        <v>60</v>
      </c>
      <c r="L423" s="166">
        <f t="shared" si="75"/>
        <v>0</v>
      </c>
      <c r="M423" s="166">
        <f t="shared" si="75"/>
        <v>60</v>
      </c>
      <c r="N423" s="166">
        <f t="shared" si="75"/>
        <v>57.9</v>
      </c>
    </row>
    <row r="424" spans="1:14" s="147" customFormat="1" ht="96.75" customHeight="1">
      <c r="A424" s="151"/>
      <c r="B424" s="168" t="s">
        <v>383</v>
      </c>
      <c r="C424" s="165" t="s">
        <v>377</v>
      </c>
      <c r="D424" s="150" t="s">
        <v>248</v>
      </c>
      <c r="E424" s="150" t="s">
        <v>57</v>
      </c>
      <c r="F424" s="180" t="s">
        <v>84</v>
      </c>
      <c r="G424" s="321" t="s">
        <v>110</v>
      </c>
      <c r="H424" s="321" t="s">
        <v>84</v>
      </c>
      <c r="I424" s="746" t="s">
        <v>64</v>
      </c>
      <c r="J424" s="150"/>
      <c r="K424" s="698">
        <f>K427+K425</f>
        <v>60</v>
      </c>
      <c r="L424" s="166">
        <f>L427+L425</f>
        <v>0</v>
      </c>
      <c r="M424" s="166">
        <f>M427+M425</f>
        <v>60</v>
      </c>
      <c r="N424" s="166">
        <f>N427+N425</f>
        <v>57.9</v>
      </c>
    </row>
    <row r="425" spans="1:14" s="147" customFormat="1" ht="40.5" customHeight="1">
      <c r="A425" s="151"/>
      <c r="B425" s="168" t="s">
        <v>378</v>
      </c>
      <c r="C425" s="165" t="s">
        <v>377</v>
      </c>
      <c r="D425" s="150" t="s">
        <v>248</v>
      </c>
      <c r="E425" s="150" t="s">
        <v>57</v>
      </c>
      <c r="F425" s="180" t="s">
        <v>84</v>
      </c>
      <c r="G425" s="321" t="s">
        <v>110</v>
      </c>
      <c r="H425" s="321" t="s">
        <v>84</v>
      </c>
      <c r="I425" s="746" t="s">
        <v>379</v>
      </c>
      <c r="J425" s="150"/>
      <c r="K425" s="698">
        <f>K426</f>
        <v>17.899999999999999</v>
      </c>
      <c r="L425" s="166">
        <f>L426</f>
        <v>0</v>
      </c>
      <c r="M425" s="166">
        <f>M426</f>
        <v>17.899999999999999</v>
      </c>
      <c r="N425" s="166">
        <f>N426</f>
        <v>17.899999999999999</v>
      </c>
    </row>
    <row r="426" spans="1:14" s="147" customFormat="1" ht="57" customHeight="1">
      <c r="A426" s="151"/>
      <c r="B426" s="168" t="s">
        <v>97</v>
      </c>
      <c r="C426" s="165" t="s">
        <v>377</v>
      </c>
      <c r="D426" s="150" t="s">
        <v>248</v>
      </c>
      <c r="E426" s="150" t="s">
        <v>57</v>
      </c>
      <c r="F426" s="180" t="s">
        <v>84</v>
      </c>
      <c r="G426" s="321" t="s">
        <v>110</v>
      </c>
      <c r="H426" s="321" t="s">
        <v>84</v>
      </c>
      <c r="I426" s="746" t="s">
        <v>379</v>
      </c>
      <c r="J426" s="150" t="s">
        <v>98</v>
      </c>
      <c r="K426" s="698">
        <v>17.899999999999999</v>
      </c>
      <c r="L426" s="166">
        <f>M426-K426</f>
        <v>0</v>
      </c>
      <c r="M426" s="166">
        <v>17.899999999999999</v>
      </c>
      <c r="N426" s="166">
        <v>17.899999999999999</v>
      </c>
    </row>
    <row r="427" spans="1:14" s="147" customFormat="1" ht="56.25">
      <c r="A427" s="151"/>
      <c r="B427" s="168" t="s">
        <v>587</v>
      </c>
      <c r="C427" s="165" t="s">
        <v>377</v>
      </c>
      <c r="D427" s="150" t="s">
        <v>248</v>
      </c>
      <c r="E427" s="150" t="s">
        <v>57</v>
      </c>
      <c r="F427" s="744" t="s">
        <v>84</v>
      </c>
      <c r="G427" s="745" t="s">
        <v>110</v>
      </c>
      <c r="H427" s="745" t="s">
        <v>84</v>
      </c>
      <c r="I427" s="746" t="s">
        <v>588</v>
      </c>
      <c r="J427" s="150"/>
      <c r="K427" s="698">
        <f t="shared" si="75"/>
        <v>42.1</v>
      </c>
      <c r="L427" s="166">
        <f t="shared" si="75"/>
        <v>0</v>
      </c>
      <c r="M427" s="166">
        <f t="shared" si="75"/>
        <v>42.1</v>
      </c>
      <c r="N427" s="166">
        <f t="shared" si="75"/>
        <v>40</v>
      </c>
    </row>
    <row r="428" spans="1:14" s="147" customFormat="1" ht="56.25">
      <c r="A428" s="151"/>
      <c r="B428" s="168" t="s">
        <v>97</v>
      </c>
      <c r="C428" s="165" t="s">
        <v>377</v>
      </c>
      <c r="D428" s="150" t="s">
        <v>248</v>
      </c>
      <c r="E428" s="150" t="s">
        <v>57</v>
      </c>
      <c r="F428" s="744" t="s">
        <v>84</v>
      </c>
      <c r="G428" s="745" t="s">
        <v>110</v>
      </c>
      <c r="H428" s="745" t="s">
        <v>84</v>
      </c>
      <c r="I428" s="746" t="s">
        <v>588</v>
      </c>
      <c r="J428" s="150" t="s">
        <v>98</v>
      </c>
      <c r="K428" s="698">
        <v>42.1</v>
      </c>
      <c r="L428" s="166">
        <f>M428-K428</f>
        <v>0</v>
      </c>
      <c r="M428" s="166">
        <v>42.1</v>
      </c>
      <c r="N428" s="166">
        <v>40</v>
      </c>
    </row>
    <row r="429" spans="1:14" s="147" customFormat="1" ht="37.5">
      <c r="A429" s="151"/>
      <c r="B429" s="164" t="s">
        <v>384</v>
      </c>
      <c r="C429" s="165" t="s">
        <v>377</v>
      </c>
      <c r="D429" s="150" t="s">
        <v>248</v>
      </c>
      <c r="E429" s="150" t="s">
        <v>72</v>
      </c>
      <c r="F429" s="180"/>
      <c r="G429" s="321"/>
      <c r="H429" s="321"/>
      <c r="I429" s="322"/>
      <c r="J429" s="323"/>
      <c r="K429" s="698">
        <f t="shared" ref="K429:N431" si="76">K430</f>
        <v>9246.1</v>
      </c>
      <c r="L429" s="166">
        <f t="shared" si="76"/>
        <v>0</v>
      </c>
      <c r="M429" s="166">
        <f t="shared" si="76"/>
        <v>9246.1</v>
      </c>
      <c r="N429" s="166">
        <f t="shared" si="76"/>
        <v>9303.9000000000015</v>
      </c>
    </row>
    <row r="430" spans="1:14" s="147" customFormat="1" ht="56.25">
      <c r="A430" s="151"/>
      <c r="B430" s="170" t="s">
        <v>235</v>
      </c>
      <c r="C430" s="165" t="s">
        <v>377</v>
      </c>
      <c r="D430" s="150" t="s">
        <v>248</v>
      </c>
      <c r="E430" s="150" t="s">
        <v>72</v>
      </c>
      <c r="F430" s="180" t="s">
        <v>84</v>
      </c>
      <c r="G430" s="321" t="s">
        <v>62</v>
      </c>
      <c r="H430" s="321" t="s">
        <v>63</v>
      </c>
      <c r="I430" s="322" t="s">
        <v>64</v>
      </c>
      <c r="J430" s="323"/>
      <c r="K430" s="698">
        <f t="shared" si="76"/>
        <v>9246.1</v>
      </c>
      <c r="L430" s="166">
        <f t="shared" si="76"/>
        <v>0</v>
      </c>
      <c r="M430" s="166">
        <f t="shared" si="76"/>
        <v>9246.1</v>
      </c>
      <c r="N430" s="166">
        <f t="shared" si="76"/>
        <v>9303.9000000000015</v>
      </c>
    </row>
    <row r="431" spans="1:14" s="147" customFormat="1" ht="56.25">
      <c r="A431" s="151"/>
      <c r="B431" s="164" t="s">
        <v>238</v>
      </c>
      <c r="C431" s="165" t="s">
        <v>377</v>
      </c>
      <c r="D431" s="150" t="s">
        <v>248</v>
      </c>
      <c r="E431" s="150" t="s">
        <v>72</v>
      </c>
      <c r="F431" s="744" t="s">
        <v>84</v>
      </c>
      <c r="G431" s="745" t="s">
        <v>50</v>
      </c>
      <c r="H431" s="745" t="s">
        <v>63</v>
      </c>
      <c r="I431" s="746" t="s">
        <v>64</v>
      </c>
      <c r="J431" s="150"/>
      <c r="K431" s="698">
        <f t="shared" si="76"/>
        <v>9246.1</v>
      </c>
      <c r="L431" s="166">
        <f t="shared" si="76"/>
        <v>0</v>
      </c>
      <c r="M431" s="166">
        <f t="shared" si="76"/>
        <v>9246.1</v>
      </c>
      <c r="N431" s="166">
        <f t="shared" si="76"/>
        <v>9303.9000000000015</v>
      </c>
    </row>
    <row r="432" spans="1:14" s="147" customFormat="1" ht="37.5">
      <c r="A432" s="151"/>
      <c r="B432" s="164" t="s">
        <v>322</v>
      </c>
      <c r="C432" s="165" t="s">
        <v>377</v>
      </c>
      <c r="D432" s="150" t="s">
        <v>248</v>
      </c>
      <c r="E432" s="150" t="s">
        <v>72</v>
      </c>
      <c r="F432" s="744" t="s">
        <v>84</v>
      </c>
      <c r="G432" s="745" t="s">
        <v>50</v>
      </c>
      <c r="H432" s="745" t="s">
        <v>57</v>
      </c>
      <c r="I432" s="746" t="s">
        <v>64</v>
      </c>
      <c r="J432" s="150"/>
      <c r="K432" s="698">
        <f>K433+K437</f>
        <v>9246.1</v>
      </c>
      <c r="L432" s="166">
        <f>L433+L437</f>
        <v>0</v>
      </c>
      <c r="M432" s="166">
        <f>M433+M437</f>
        <v>9246.1</v>
      </c>
      <c r="N432" s="166">
        <f>N433+N437</f>
        <v>9303.9000000000015</v>
      </c>
    </row>
    <row r="433" spans="1:14" s="147" customFormat="1" ht="37.5">
      <c r="A433" s="151"/>
      <c r="B433" s="164" t="s">
        <v>67</v>
      </c>
      <c r="C433" s="165" t="s">
        <v>377</v>
      </c>
      <c r="D433" s="150" t="s">
        <v>248</v>
      </c>
      <c r="E433" s="150" t="s">
        <v>72</v>
      </c>
      <c r="F433" s="744" t="s">
        <v>84</v>
      </c>
      <c r="G433" s="745" t="s">
        <v>50</v>
      </c>
      <c r="H433" s="745" t="s">
        <v>57</v>
      </c>
      <c r="I433" s="746" t="s">
        <v>68</v>
      </c>
      <c r="J433" s="323"/>
      <c r="K433" s="698">
        <f>K434+K435+K436</f>
        <v>2806.7</v>
      </c>
      <c r="L433" s="166">
        <f>L434+L435+L436</f>
        <v>0</v>
      </c>
      <c r="M433" s="166">
        <f>M434+M435+M436</f>
        <v>2806.7</v>
      </c>
      <c r="N433" s="166">
        <f>N434+N435+N436</f>
        <v>2807.3</v>
      </c>
    </row>
    <row r="434" spans="1:14" s="147" customFormat="1" ht="112.5">
      <c r="A434" s="151"/>
      <c r="B434" s="164" t="s">
        <v>69</v>
      </c>
      <c r="C434" s="165" t="s">
        <v>377</v>
      </c>
      <c r="D434" s="150" t="s">
        <v>248</v>
      </c>
      <c r="E434" s="150" t="s">
        <v>72</v>
      </c>
      <c r="F434" s="744" t="s">
        <v>84</v>
      </c>
      <c r="G434" s="745" t="s">
        <v>50</v>
      </c>
      <c r="H434" s="745" t="s">
        <v>57</v>
      </c>
      <c r="I434" s="746" t="s">
        <v>68</v>
      </c>
      <c r="J434" s="323" t="s">
        <v>70</v>
      </c>
      <c r="K434" s="698">
        <v>2605.6</v>
      </c>
      <c r="L434" s="166">
        <f>M434-K434</f>
        <v>0</v>
      </c>
      <c r="M434" s="166">
        <v>2605.6</v>
      </c>
      <c r="N434" s="166">
        <v>2605.6</v>
      </c>
    </row>
    <row r="435" spans="1:14" s="147" customFormat="1" ht="56.25">
      <c r="A435" s="151"/>
      <c r="B435" s="164" t="s">
        <v>75</v>
      </c>
      <c r="C435" s="165" t="s">
        <v>377</v>
      </c>
      <c r="D435" s="150" t="s">
        <v>248</v>
      </c>
      <c r="E435" s="150" t="s">
        <v>72</v>
      </c>
      <c r="F435" s="744" t="s">
        <v>84</v>
      </c>
      <c r="G435" s="745" t="s">
        <v>50</v>
      </c>
      <c r="H435" s="745" t="s">
        <v>57</v>
      </c>
      <c r="I435" s="746" t="s">
        <v>68</v>
      </c>
      <c r="J435" s="323" t="s">
        <v>76</v>
      </c>
      <c r="K435" s="698">
        <v>196.7</v>
      </c>
      <c r="L435" s="166">
        <f>M435-K435</f>
        <v>0</v>
      </c>
      <c r="M435" s="166">
        <v>196.7</v>
      </c>
      <c r="N435" s="166">
        <v>197.4</v>
      </c>
    </row>
    <row r="436" spans="1:14" s="147" customFormat="1" ht="18.75">
      <c r="A436" s="151"/>
      <c r="B436" s="164" t="s">
        <v>77</v>
      </c>
      <c r="C436" s="165" t="s">
        <v>377</v>
      </c>
      <c r="D436" s="150" t="s">
        <v>248</v>
      </c>
      <c r="E436" s="150" t="s">
        <v>72</v>
      </c>
      <c r="F436" s="744" t="s">
        <v>84</v>
      </c>
      <c r="G436" s="745" t="s">
        <v>50</v>
      </c>
      <c r="H436" s="745" t="s">
        <v>57</v>
      </c>
      <c r="I436" s="746" t="s">
        <v>68</v>
      </c>
      <c r="J436" s="150" t="s">
        <v>78</v>
      </c>
      <c r="K436" s="698">
        <v>4.4000000000000004</v>
      </c>
      <c r="L436" s="166">
        <f>M436-K436</f>
        <v>0</v>
      </c>
      <c r="M436" s="166">
        <v>4.4000000000000004</v>
      </c>
      <c r="N436" s="166">
        <v>4.3</v>
      </c>
    </row>
    <row r="437" spans="1:14" s="147" customFormat="1" ht="39" customHeight="1">
      <c r="A437" s="151"/>
      <c r="B437" s="304" t="s">
        <v>800</v>
      </c>
      <c r="C437" s="165" t="s">
        <v>377</v>
      </c>
      <c r="D437" s="150" t="s">
        <v>248</v>
      </c>
      <c r="E437" s="150" t="s">
        <v>72</v>
      </c>
      <c r="F437" s="744" t="s">
        <v>84</v>
      </c>
      <c r="G437" s="745" t="s">
        <v>50</v>
      </c>
      <c r="H437" s="745" t="s">
        <v>57</v>
      </c>
      <c r="I437" s="746" t="s">
        <v>112</v>
      </c>
      <c r="J437" s="150"/>
      <c r="K437" s="698">
        <f>K438+K439+K440</f>
        <v>6439.4000000000005</v>
      </c>
      <c r="L437" s="166">
        <f>L438+L439+L440</f>
        <v>0</v>
      </c>
      <c r="M437" s="166">
        <f>M438+M439+M440</f>
        <v>6439.4000000000005</v>
      </c>
      <c r="N437" s="166">
        <f>N438+N439+N440</f>
        <v>6496.6</v>
      </c>
    </row>
    <row r="438" spans="1:14" s="147" customFormat="1" ht="112.5">
      <c r="A438" s="151"/>
      <c r="B438" s="164" t="s">
        <v>69</v>
      </c>
      <c r="C438" s="430" t="s">
        <v>377</v>
      </c>
      <c r="D438" s="323" t="s">
        <v>248</v>
      </c>
      <c r="E438" s="323" t="s">
        <v>72</v>
      </c>
      <c r="F438" s="744" t="s">
        <v>84</v>
      </c>
      <c r="G438" s="745" t="s">
        <v>50</v>
      </c>
      <c r="H438" s="745" t="s">
        <v>57</v>
      </c>
      <c r="I438" s="746" t="s">
        <v>112</v>
      </c>
      <c r="J438" s="323" t="s">
        <v>70</v>
      </c>
      <c r="K438" s="698">
        <v>5959.1</v>
      </c>
      <c r="L438" s="166">
        <f>M438-K438</f>
        <v>0</v>
      </c>
      <c r="M438" s="166">
        <v>5959.1</v>
      </c>
      <c r="N438" s="166">
        <v>5959.1</v>
      </c>
    </row>
    <row r="439" spans="1:14" s="147" customFormat="1" ht="56.25">
      <c r="A439" s="151"/>
      <c r="B439" s="164" t="s">
        <v>75</v>
      </c>
      <c r="C439" s="430" t="s">
        <v>377</v>
      </c>
      <c r="D439" s="323" t="s">
        <v>248</v>
      </c>
      <c r="E439" s="323" t="s">
        <v>72</v>
      </c>
      <c r="F439" s="744" t="s">
        <v>84</v>
      </c>
      <c r="G439" s="745" t="s">
        <v>50</v>
      </c>
      <c r="H439" s="745" t="s">
        <v>57</v>
      </c>
      <c r="I439" s="746" t="s">
        <v>112</v>
      </c>
      <c r="J439" s="323" t="s">
        <v>76</v>
      </c>
      <c r="K439" s="698">
        <v>478.7</v>
      </c>
      <c r="L439" s="166">
        <f>M439-K439</f>
        <v>0</v>
      </c>
      <c r="M439" s="166">
        <v>478.7</v>
      </c>
      <c r="N439" s="166">
        <v>535.9</v>
      </c>
    </row>
    <row r="440" spans="1:14" s="147" customFormat="1" ht="18.75">
      <c r="A440" s="151"/>
      <c r="B440" s="164" t="s">
        <v>77</v>
      </c>
      <c r="C440" s="430" t="s">
        <v>377</v>
      </c>
      <c r="D440" s="323" t="s">
        <v>248</v>
      </c>
      <c r="E440" s="323" t="s">
        <v>72</v>
      </c>
      <c r="F440" s="744" t="s">
        <v>84</v>
      </c>
      <c r="G440" s="745" t="s">
        <v>50</v>
      </c>
      <c r="H440" s="745" t="s">
        <v>57</v>
      </c>
      <c r="I440" s="746" t="s">
        <v>112</v>
      </c>
      <c r="J440" s="150" t="s">
        <v>78</v>
      </c>
      <c r="K440" s="698">
        <v>1.6</v>
      </c>
      <c r="L440" s="166">
        <f>M440-K440</f>
        <v>0</v>
      </c>
      <c r="M440" s="166">
        <v>1.6</v>
      </c>
      <c r="N440" s="166">
        <v>1.6</v>
      </c>
    </row>
    <row r="441" spans="1:14" s="397" customFormat="1" ht="18.75">
      <c r="A441" s="151"/>
      <c r="B441" s="164"/>
      <c r="C441" s="430"/>
      <c r="D441" s="323"/>
      <c r="E441" s="323"/>
      <c r="F441" s="744"/>
      <c r="G441" s="745"/>
      <c r="H441" s="745"/>
      <c r="I441" s="746"/>
      <c r="J441" s="150"/>
      <c r="K441" s="698"/>
      <c r="L441" s="166"/>
      <c r="M441" s="166"/>
      <c r="N441" s="166"/>
    </row>
    <row r="442" spans="1:14" s="392" customFormat="1" ht="56.25">
      <c r="A442" s="391">
        <v>7</v>
      </c>
      <c r="B442" s="158" t="s">
        <v>26</v>
      </c>
      <c r="C442" s="159" t="s">
        <v>331</v>
      </c>
      <c r="D442" s="160"/>
      <c r="E442" s="160"/>
      <c r="F442" s="161"/>
      <c r="G442" s="162"/>
      <c r="H442" s="162"/>
      <c r="I442" s="163"/>
      <c r="J442" s="160"/>
      <c r="K442" s="697">
        <f>K443+K450</f>
        <v>21837.300000000003</v>
      </c>
      <c r="L442" s="189">
        <f>L443+L450</f>
        <v>0</v>
      </c>
      <c r="M442" s="189">
        <f>M443+M450</f>
        <v>21837.300000000003</v>
      </c>
      <c r="N442" s="189">
        <f>N443+N450</f>
        <v>24564.5</v>
      </c>
    </row>
    <row r="443" spans="1:14" s="392" customFormat="1" ht="18.75">
      <c r="A443" s="391"/>
      <c r="B443" s="596" t="s">
        <v>56</v>
      </c>
      <c r="C443" s="597" t="s">
        <v>331</v>
      </c>
      <c r="D443" s="181" t="s">
        <v>57</v>
      </c>
      <c r="E443" s="181"/>
      <c r="F443" s="580"/>
      <c r="G443" s="581"/>
      <c r="H443" s="581"/>
      <c r="I443" s="582"/>
      <c r="J443" s="181"/>
      <c r="K443" s="698">
        <f t="shared" ref="K443:M447" si="77">K444</f>
        <v>35.299999999999997</v>
      </c>
      <c r="L443" s="583">
        <f t="shared" si="77"/>
        <v>0</v>
      </c>
      <c r="M443" s="583">
        <f t="shared" si="77"/>
        <v>35.299999999999997</v>
      </c>
      <c r="N443" s="583">
        <f t="shared" ref="N443:N447" si="78">N444</f>
        <v>35.299999999999997</v>
      </c>
    </row>
    <row r="444" spans="1:14" s="392" customFormat="1" ht="18.75">
      <c r="A444" s="391"/>
      <c r="B444" s="596" t="s">
        <v>91</v>
      </c>
      <c r="C444" s="597" t="s">
        <v>331</v>
      </c>
      <c r="D444" s="181" t="s">
        <v>57</v>
      </c>
      <c r="E444" s="181" t="s">
        <v>92</v>
      </c>
      <c r="F444" s="580"/>
      <c r="G444" s="581"/>
      <c r="H444" s="581"/>
      <c r="I444" s="582"/>
      <c r="J444" s="181"/>
      <c r="K444" s="698">
        <f t="shared" si="77"/>
        <v>35.299999999999997</v>
      </c>
      <c r="L444" s="583">
        <f t="shared" si="77"/>
        <v>0</v>
      </c>
      <c r="M444" s="583">
        <f t="shared" si="77"/>
        <v>35.299999999999997</v>
      </c>
      <c r="N444" s="583">
        <f t="shared" si="78"/>
        <v>35.299999999999997</v>
      </c>
    </row>
    <row r="445" spans="1:14" s="392" customFormat="1" ht="56.25">
      <c r="A445" s="391"/>
      <c r="B445" s="596" t="s">
        <v>239</v>
      </c>
      <c r="C445" s="597" t="s">
        <v>331</v>
      </c>
      <c r="D445" s="181" t="s">
        <v>57</v>
      </c>
      <c r="E445" s="181" t="s">
        <v>92</v>
      </c>
      <c r="F445" s="580" t="s">
        <v>72</v>
      </c>
      <c r="G445" s="581" t="s">
        <v>62</v>
      </c>
      <c r="H445" s="581" t="s">
        <v>63</v>
      </c>
      <c r="I445" s="582" t="s">
        <v>64</v>
      </c>
      <c r="J445" s="181"/>
      <c r="K445" s="698">
        <f t="shared" si="77"/>
        <v>35.299999999999997</v>
      </c>
      <c r="L445" s="583">
        <f t="shared" si="77"/>
        <v>0</v>
      </c>
      <c r="M445" s="583">
        <f t="shared" si="77"/>
        <v>35.299999999999997</v>
      </c>
      <c r="N445" s="583">
        <f t="shared" si="78"/>
        <v>35.299999999999997</v>
      </c>
    </row>
    <row r="446" spans="1:14" s="392" customFormat="1" ht="37.5">
      <c r="A446" s="391"/>
      <c r="B446" s="596" t="s">
        <v>242</v>
      </c>
      <c r="C446" s="597" t="s">
        <v>331</v>
      </c>
      <c r="D446" s="181" t="s">
        <v>57</v>
      </c>
      <c r="E446" s="181" t="s">
        <v>92</v>
      </c>
      <c r="F446" s="580" t="s">
        <v>72</v>
      </c>
      <c r="G446" s="581" t="s">
        <v>110</v>
      </c>
      <c r="H446" s="581" t="s">
        <v>63</v>
      </c>
      <c r="I446" s="582" t="s">
        <v>64</v>
      </c>
      <c r="J446" s="181"/>
      <c r="K446" s="698">
        <f t="shared" si="77"/>
        <v>35.299999999999997</v>
      </c>
      <c r="L446" s="583">
        <f t="shared" si="77"/>
        <v>0</v>
      </c>
      <c r="M446" s="583">
        <f t="shared" si="77"/>
        <v>35.299999999999997</v>
      </c>
      <c r="N446" s="583">
        <f t="shared" si="78"/>
        <v>35.299999999999997</v>
      </c>
    </row>
    <row r="447" spans="1:14" s="392" customFormat="1" ht="37.5">
      <c r="A447" s="391"/>
      <c r="B447" s="596" t="s">
        <v>428</v>
      </c>
      <c r="C447" s="597" t="s">
        <v>331</v>
      </c>
      <c r="D447" s="181" t="s">
        <v>57</v>
      </c>
      <c r="E447" s="181" t="s">
        <v>92</v>
      </c>
      <c r="F447" s="580" t="s">
        <v>72</v>
      </c>
      <c r="G447" s="581" t="s">
        <v>110</v>
      </c>
      <c r="H447" s="581" t="s">
        <v>84</v>
      </c>
      <c r="I447" s="582" t="s">
        <v>64</v>
      </c>
      <c r="J447" s="181"/>
      <c r="K447" s="698">
        <f t="shared" si="77"/>
        <v>35.299999999999997</v>
      </c>
      <c r="L447" s="583">
        <f t="shared" si="77"/>
        <v>0</v>
      </c>
      <c r="M447" s="583">
        <f t="shared" si="77"/>
        <v>35.299999999999997</v>
      </c>
      <c r="N447" s="583">
        <f t="shared" si="78"/>
        <v>35.299999999999997</v>
      </c>
    </row>
    <row r="448" spans="1:14" s="392" customFormat="1" ht="54" customHeight="1">
      <c r="A448" s="391"/>
      <c r="B448" s="596" t="s">
        <v>429</v>
      </c>
      <c r="C448" s="597" t="s">
        <v>331</v>
      </c>
      <c r="D448" s="181" t="s">
        <v>57</v>
      </c>
      <c r="E448" s="181" t="s">
        <v>92</v>
      </c>
      <c r="F448" s="580" t="s">
        <v>72</v>
      </c>
      <c r="G448" s="581" t="s">
        <v>110</v>
      </c>
      <c r="H448" s="581" t="s">
        <v>84</v>
      </c>
      <c r="I448" s="582" t="s">
        <v>126</v>
      </c>
      <c r="J448" s="181"/>
      <c r="K448" s="698">
        <f>K449</f>
        <v>35.299999999999997</v>
      </c>
      <c r="L448" s="583">
        <f>L449</f>
        <v>0</v>
      </c>
      <c r="M448" s="583">
        <f>M449</f>
        <v>35.299999999999997</v>
      </c>
      <c r="N448" s="583">
        <f>N449</f>
        <v>35.299999999999997</v>
      </c>
    </row>
    <row r="449" spans="1:14" s="147" customFormat="1" ht="56.25">
      <c r="A449" s="151"/>
      <c r="B449" s="599" t="s">
        <v>75</v>
      </c>
      <c r="C449" s="597" t="s">
        <v>331</v>
      </c>
      <c r="D449" s="181" t="s">
        <v>57</v>
      </c>
      <c r="E449" s="181" t="s">
        <v>92</v>
      </c>
      <c r="F449" s="580" t="s">
        <v>72</v>
      </c>
      <c r="G449" s="581" t="s">
        <v>110</v>
      </c>
      <c r="H449" s="581" t="s">
        <v>84</v>
      </c>
      <c r="I449" s="582" t="s">
        <v>126</v>
      </c>
      <c r="J449" s="181" t="s">
        <v>76</v>
      </c>
      <c r="K449" s="698">
        <v>35.299999999999997</v>
      </c>
      <c r="L449" s="166">
        <f>M449-K449</f>
        <v>0</v>
      </c>
      <c r="M449" s="583">
        <v>35.299999999999997</v>
      </c>
      <c r="N449" s="166">
        <v>35.299999999999997</v>
      </c>
    </row>
    <row r="450" spans="1:14" s="147" customFormat="1" ht="18.75">
      <c r="A450" s="151"/>
      <c r="B450" s="599" t="s">
        <v>385</v>
      </c>
      <c r="C450" s="597" t="s">
        <v>331</v>
      </c>
      <c r="D450" s="181" t="s">
        <v>88</v>
      </c>
      <c r="E450" s="181"/>
      <c r="F450" s="580"/>
      <c r="G450" s="581"/>
      <c r="H450" s="581"/>
      <c r="I450" s="582"/>
      <c r="J450" s="181"/>
      <c r="K450" s="698">
        <f>K451+K473+K467</f>
        <v>21802.000000000004</v>
      </c>
      <c r="L450" s="583">
        <f>L451+L473+L467</f>
        <v>0</v>
      </c>
      <c r="M450" s="583">
        <f>M451+M473+M467</f>
        <v>21802.000000000004</v>
      </c>
      <c r="N450" s="583">
        <f>N451+N473+N467</f>
        <v>24529.200000000001</v>
      </c>
    </row>
    <row r="451" spans="1:14" s="392" customFormat="1" ht="18.75">
      <c r="A451" s="151"/>
      <c r="B451" s="170" t="s">
        <v>443</v>
      </c>
      <c r="C451" s="165" t="s">
        <v>331</v>
      </c>
      <c r="D451" s="150" t="s">
        <v>88</v>
      </c>
      <c r="E451" s="150" t="s">
        <v>57</v>
      </c>
      <c r="F451" s="744"/>
      <c r="G451" s="745"/>
      <c r="H451" s="745"/>
      <c r="I451" s="746"/>
      <c r="J451" s="150"/>
      <c r="K451" s="698">
        <f>K452</f>
        <v>19316.600000000002</v>
      </c>
      <c r="L451" s="166">
        <f>L452</f>
        <v>0</v>
      </c>
      <c r="M451" s="166">
        <f>M452</f>
        <v>19316.600000000002</v>
      </c>
      <c r="N451" s="166">
        <f>N452</f>
        <v>18463.7</v>
      </c>
    </row>
    <row r="452" spans="1:14" s="392" customFormat="1" ht="61.5" customHeight="1">
      <c r="A452" s="151"/>
      <c r="B452" s="164" t="s">
        <v>239</v>
      </c>
      <c r="C452" s="165" t="s">
        <v>331</v>
      </c>
      <c r="D452" s="150" t="s">
        <v>88</v>
      </c>
      <c r="E452" s="150" t="s">
        <v>57</v>
      </c>
      <c r="F452" s="744" t="s">
        <v>72</v>
      </c>
      <c r="G452" s="745" t="s">
        <v>62</v>
      </c>
      <c r="H452" s="745" t="s">
        <v>63</v>
      </c>
      <c r="I452" s="746" t="s">
        <v>64</v>
      </c>
      <c r="J452" s="150"/>
      <c r="K452" s="698">
        <f>K453+K457</f>
        <v>19316.600000000002</v>
      </c>
      <c r="L452" s="166">
        <f>L453+L457</f>
        <v>0</v>
      </c>
      <c r="M452" s="166">
        <f>M453+M457</f>
        <v>19316.600000000002</v>
      </c>
      <c r="N452" s="166">
        <f>N453+N457</f>
        <v>18463.7</v>
      </c>
    </row>
    <row r="453" spans="1:14" s="392" customFormat="1" ht="37.5">
      <c r="A453" s="151"/>
      <c r="B453" s="170" t="s">
        <v>240</v>
      </c>
      <c r="C453" s="165" t="s">
        <v>331</v>
      </c>
      <c r="D453" s="150" t="s">
        <v>88</v>
      </c>
      <c r="E453" s="150" t="s">
        <v>57</v>
      </c>
      <c r="F453" s="744" t="s">
        <v>72</v>
      </c>
      <c r="G453" s="745" t="s">
        <v>65</v>
      </c>
      <c r="H453" s="745" t="s">
        <v>63</v>
      </c>
      <c r="I453" s="746" t="s">
        <v>64</v>
      </c>
      <c r="J453" s="150"/>
      <c r="K453" s="698">
        <f>K454</f>
        <v>180</v>
      </c>
      <c r="L453" s="166">
        <f>L454</f>
        <v>0</v>
      </c>
      <c r="M453" s="166">
        <f>M454</f>
        <v>180</v>
      </c>
      <c r="N453" s="166">
        <f>N454</f>
        <v>180</v>
      </c>
    </row>
    <row r="454" spans="1:14" s="392" customFormat="1" ht="18.75">
      <c r="A454" s="151"/>
      <c r="B454" s="164" t="s">
        <v>317</v>
      </c>
      <c r="C454" s="165" t="s">
        <v>331</v>
      </c>
      <c r="D454" s="150" t="s">
        <v>88</v>
      </c>
      <c r="E454" s="150" t="s">
        <v>57</v>
      </c>
      <c r="F454" s="744" t="s">
        <v>72</v>
      </c>
      <c r="G454" s="745" t="s">
        <v>65</v>
      </c>
      <c r="H454" s="745" t="s">
        <v>57</v>
      </c>
      <c r="I454" s="746" t="s">
        <v>64</v>
      </c>
      <c r="J454" s="150"/>
      <c r="K454" s="698">
        <f t="shared" ref="K454:N455" si="79">K455</f>
        <v>180</v>
      </c>
      <c r="L454" s="166">
        <f t="shared" si="79"/>
        <v>0</v>
      </c>
      <c r="M454" s="166">
        <f t="shared" si="79"/>
        <v>180</v>
      </c>
      <c r="N454" s="166">
        <f t="shared" si="79"/>
        <v>180</v>
      </c>
    </row>
    <row r="455" spans="1:14" s="392" customFormat="1" ht="41.25" customHeight="1">
      <c r="A455" s="151"/>
      <c r="B455" s="164" t="s">
        <v>318</v>
      </c>
      <c r="C455" s="165" t="s">
        <v>331</v>
      </c>
      <c r="D455" s="150" t="s">
        <v>88</v>
      </c>
      <c r="E455" s="150" t="s">
        <v>57</v>
      </c>
      <c r="F455" s="744" t="s">
        <v>72</v>
      </c>
      <c r="G455" s="745" t="s">
        <v>65</v>
      </c>
      <c r="H455" s="745" t="s">
        <v>57</v>
      </c>
      <c r="I455" s="746" t="s">
        <v>319</v>
      </c>
      <c r="J455" s="150"/>
      <c r="K455" s="698">
        <f t="shared" si="79"/>
        <v>180</v>
      </c>
      <c r="L455" s="166">
        <f t="shared" si="79"/>
        <v>0</v>
      </c>
      <c r="M455" s="166">
        <f t="shared" si="79"/>
        <v>180</v>
      </c>
      <c r="N455" s="166">
        <f t="shared" si="79"/>
        <v>180</v>
      </c>
    </row>
    <row r="456" spans="1:14" s="392" customFormat="1" ht="37.5">
      <c r="A456" s="151"/>
      <c r="B456" s="164" t="s">
        <v>141</v>
      </c>
      <c r="C456" s="165" t="s">
        <v>331</v>
      </c>
      <c r="D456" s="150" t="s">
        <v>88</v>
      </c>
      <c r="E456" s="150" t="s">
        <v>57</v>
      </c>
      <c r="F456" s="744" t="s">
        <v>72</v>
      </c>
      <c r="G456" s="745" t="s">
        <v>65</v>
      </c>
      <c r="H456" s="745" t="s">
        <v>57</v>
      </c>
      <c r="I456" s="746" t="s">
        <v>319</v>
      </c>
      <c r="J456" s="150" t="s">
        <v>142</v>
      </c>
      <c r="K456" s="698">
        <v>180</v>
      </c>
      <c r="L456" s="166">
        <f>M456-K456</f>
        <v>0</v>
      </c>
      <c r="M456" s="166">
        <v>180</v>
      </c>
      <c r="N456" s="166">
        <v>180</v>
      </c>
    </row>
    <row r="457" spans="1:14" s="147" customFormat="1" ht="37.5">
      <c r="A457" s="151"/>
      <c r="B457" s="164" t="s">
        <v>242</v>
      </c>
      <c r="C457" s="165" t="s">
        <v>331</v>
      </c>
      <c r="D457" s="150" t="s">
        <v>88</v>
      </c>
      <c r="E457" s="150" t="s">
        <v>57</v>
      </c>
      <c r="F457" s="744" t="s">
        <v>72</v>
      </c>
      <c r="G457" s="745" t="s">
        <v>110</v>
      </c>
      <c r="H457" s="745" t="s">
        <v>63</v>
      </c>
      <c r="I457" s="746" t="s">
        <v>64</v>
      </c>
      <c r="J457" s="150"/>
      <c r="K457" s="698">
        <f t="shared" ref="K457:N457" si="80">K458</f>
        <v>19136.600000000002</v>
      </c>
      <c r="L457" s="166">
        <f t="shared" si="80"/>
        <v>0</v>
      </c>
      <c r="M457" s="166">
        <f t="shared" si="80"/>
        <v>19136.600000000002</v>
      </c>
      <c r="N457" s="166">
        <f t="shared" si="80"/>
        <v>18283.7</v>
      </c>
    </row>
    <row r="458" spans="1:14" s="392" customFormat="1" ht="24" customHeight="1">
      <c r="A458" s="151"/>
      <c r="B458" s="164" t="s">
        <v>444</v>
      </c>
      <c r="C458" s="165" t="s">
        <v>331</v>
      </c>
      <c r="D458" s="150" t="s">
        <v>88</v>
      </c>
      <c r="E458" s="150" t="s">
        <v>57</v>
      </c>
      <c r="F458" s="744" t="s">
        <v>72</v>
      </c>
      <c r="G458" s="745" t="s">
        <v>110</v>
      </c>
      <c r="H458" s="745" t="s">
        <v>59</v>
      </c>
      <c r="I458" s="746" t="s">
        <v>64</v>
      </c>
      <c r="J458" s="150"/>
      <c r="K458" s="698">
        <f>K459+K463+K465</f>
        <v>19136.600000000002</v>
      </c>
      <c r="L458" s="166">
        <f>L459+L463+L465</f>
        <v>0</v>
      </c>
      <c r="M458" s="166">
        <f>M459+M463+M465</f>
        <v>19136.600000000002</v>
      </c>
      <c r="N458" s="166">
        <f>N459+N463+N465</f>
        <v>18283.7</v>
      </c>
    </row>
    <row r="459" spans="1:14" s="392" customFormat="1" ht="39" customHeight="1">
      <c r="A459" s="151"/>
      <c r="B459" s="304" t="s">
        <v>800</v>
      </c>
      <c r="C459" s="165" t="s">
        <v>331</v>
      </c>
      <c r="D459" s="150" t="s">
        <v>88</v>
      </c>
      <c r="E459" s="150" t="s">
        <v>57</v>
      </c>
      <c r="F459" s="744" t="s">
        <v>72</v>
      </c>
      <c r="G459" s="745" t="s">
        <v>110</v>
      </c>
      <c r="H459" s="745" t="s">
        <v>59</v>
      </c>
      <c r="I459" s="746" t="s">
        <v>112</v>
      </c>
      <c r="J459" s="150"/>
      <c r="K459" s="698">
        <f>K460+K461+K462</f>
        <v>18158.7</v>
      </c>
      <c r="L459" s="166">
        <f>L460+L461+L462</f>
        <v>0</v>
      </c>
      <c r="M459" s="166">
        <f>M460+M461+M462</f>
        <v>18158.7</v>
      </c>
      <c r="N459" s="166">
        <f>N460+N461+N462</f>
        <v>18158.7</v>
      </c>
    </row>
    <row r="460" spans="1:14" s="392" customFormat="1" ht="112.5">
      <c r="A460" s="151"/>
      <c r="B460" s="164" t="s">
        <v>69</v>
      </c>
      <c r="C460" s="165" t="s">
        <v>331</v>
      </c>
      <c r="D460" s="150" t="s">
        <v>88</v>
      </c>
      <c r="E460" s="150" t="s">
        <v>57</v>
      </c>
      <c r="F460" s="744" t="s">
        <v>72</v>
      </c>
      <c r="G460" s="745" t="s">
        <v>110</v>
      </c>
      <c r="H460" s="745" t="s">
        <v>59</v>
      </c>
      <c r="I460" s="746" t="s">
        <v>112</v>
      </c>
      <c r="J460" s="150" t="s">
        <v>70</v>
      </c>
      <c r="K460" s="698">
        <v>17673</v>
      </c>
      <c r="L460" s="166">
        <f>M460-K460</f>
        <v>0</v>
      </c>
      <c r="M460" s="166">
        <v>17673</v>
      </c>
      <c r="N460" s="166">
        <v>17673</v>
      </c>
    </row>
    <row r="461" spans="1:14" s="147" customFormat="1" ht="56.25">
      <c r="A461" s="151"/>
      <c r="B461" s="164" t="s">
        <v>75</v>
      </c>
      <c r="C461" s="165" t="s">
        <v>331</v>
      </c>
      <c r="D461" s="150" t="s">
        <v>88</v>
      </c>
      <c r="E461" s="150" t="s">
        <v>57</v>
      </c>
      <c r="F461" s="744" t="s">
        <v>72</v>
      </c>
      <c r="G461" s="745" t="s">
        <v>110</v>
      </c>
      <c r="H461" s="745" t="s">
        <v>59</v>
      </c>
      <c r="I461" s="746" t="s">
        <v>112</v>
      </c>
      <c r="J461" s="150" t="s">
        <v>76</v>
      </c>
      <c r="K461" s="698">
        <v>425.8</v>
      </c>
      <c r="L461" s="166">
        <f>M461-K461</f>
        <v>0</v>
      </c>
      <c r="M461" s="166">
        <v>425.8</v>
      </c>
      <c r="N461" s="166">
        <v>427.8</v>
      </c>
    </row>
    <row r="462" spans="1:14" s="392" customFormat="1" ht="18.75">
      <c r="A462" s="151"/>
      <c r="B462" s="164" t="s">
        <v>77</v>
      </c>
      <c r="C462" s="165" t="s">
        <v>331</v>
      </c>
      <c r="D462" s="150" t="s">
        <v>88</v>
      </c>
      <c r="E462" s="150" t="s">
        <v>57</v>
      </c>
      <c r="F462" s="744" t="s">
        <v>72</v>
      </c>
      <c r="G462" s="745" t="s">
        <v>110</v>
      </c>
      <c r="H462" s="745" t="s">
        <v>59</v>
      </c>
      <c r="I462" s="746" t="s">
        <v>112</v>
      </c>
      <c r="J462" s="150" t="s">
        <v>78</v>
      </c>
      <c r="K462" s="698">
        <v>59.9</v>
      </c>
      <c r="L462" s="166">
        <f>M462-K462</f>
        <v>0</v>
      </c>
      <c r="M462" s="166">
        <v>59.9</v>
      </c>
      <c r="N462" s="166">
        <v>57.9</v>
      </c>
    </row>
    <row r="463" spans="1:14" s="392" customFormat="1" ht="193.5" customHeight="1">
      <c r="A463" s="151"/>
      <c r="B463" s="164" t="s">
        <v>696</v>
      </c>
      <c r="C463" s="165" t="s">
        <v>331</v>
      </c>
      <c r="D463" s="150" t="s">
        <v>88</v>
      </c>
      <c r="E463" s="150" t="s">
        <v>57</v>
      </c>
      <c r="F463" s="744" t="s">
        <v>72</v>
      </c>
      <c r="G463" s="745" t="s">
        <v>110</v>
      </c>
      <c r="H463" s="745" t="s">
        <v>59</v>
      </c>
      <c r="I463" s="746" t="s">
        <v>538</v>
      </c>
      <c r="J463" s="150"/>
      <c r="K463" s="698">
        <f>K464</f>
        <v>125</v>
      </c>
      <c r="L463" s="166">
        <f>L464</f>
        <v>0</v>
      </c>
      <c r="M463" s="166">
        <f>M464</f>
        <v>125</v>
      </c>
      <c r="N463" s="166">
        <f>N464</f>
        <v>125</v>
      </c>
    </row>
    <row r="464" spans="1:14" s="392" customFormat="1" ht="112.5">
      <c r="A464" s="151"/>
      <c r="B464" s="164" t="s">
        <v>69</v>
      </c>
      <c r="C464" s="165" t="s">
        <v>331</v>
      </c>
      <c r="D464" s="150" t="s">
        <v>88</v>
      </c>
      <c r="E464" s="150" t="s">
        <v>57</v>
      </c>
      <c r="F464" s="744" t="s">
        <v>72</v>
      </c>
      <c r="G464" s="745" t="s">
        <v>110</v>
      </c>
      <c r="H464" s="745" t="s">
        <v>59</v>
      </c>
      <c r="I464" s="746" t="s">
        <v>538</v>
      </c>
      <c r="J464" s="150" t="s">
        <v>70</v>
      </c>
      <c r="K464" s="698">
        <v>125</v>
      </c>
      <c r="L464" s="166">
        <f>M464-K464</f>
        <v>0</v>
      </c>
      <c r="M464" s="166">
        <v>125</v>
      </c>
      <c r="N464" s="719">
        <v>125</v>
      </c>
    </row>
    <row r="465" spans="1:14" s="392" customFormat="1" ht="57" customHeight="1">
      <c r="A465" s="151"/>
      <c r="B465" s="164" t="s">
        <v>731</v>
      </c>
      <c r="C465" s="165" t="s">
        <v>331</v>
      </c>
      <c r="D465" s="150" t="s">
        <v>88</v>
      </c>
      <c r="E465" s="150" t="s">
        <v>57</v>
      </c>
      <c r="F465" s="744" t="s">
        <v>72</v>
      </c>
      <c r="G465" s="745" t="s">
        <v>110</v>
      </c>
      <c r="H465" s="745" t="s">
        <v>59</v>
      </c>
      <c r="I465" s="746" t="s">
        <v>584</v>
      </c>
      <c r="J465" s="150"/>
      <c r="K465" s="698">
        <f>K466</f>
        <v>852.9</v>
      </c>
      <c r="L465" s="166">
        <f>L466</f>
        <v>0</v>
      </c>
      <c r="M465" s="166">
        <f>M466</f>
        <v>852.9</v>
      </c>
      <c r="N465" s="166">
        <f>N466</f>
        <v>0</v>
      </c>
    </row>
    <row r="466" spans="1:14" s="392" customFormat="1" ht="112.5">
      <c r="A466" s="151"/>
      <c r="B466" s="164" t="s">
        <v>69</v>
      </c>
      <c r="C466" s="165" t="s">
        <v>331</v>
      </c>
      <c r="D466" s="150" t="s">
        <v>88</v>
      </c>
      <c r="E466" s="150" t="s">
        <v>57</v>
      </c>
      <c r="F466" s="744" t="s">
        <v>72</v>
      </c>
      <c r="G466" s="745" t="s">
        <v>110</v>
      </c>
      <c r="H466" s="745" t="s">
        <v>59</v>
      </c>
      <c r="I466" s="746" t="s">
        <v>584</v>
      </c>
      <c r="J466" s="150" t="s">
        <v>70</v>
      </c>
      <c r="K466" s="698">
        <v>852.9</v>
      </c>
      <c r="L466" s="166">
        <f>M466-K466</f>
        <v>0</v>
      </c>
      <c r="M466" s="166">
        <v>852.9</v>
      </c>
      <c r="N466" s="719">
        <f>852.9-852.9</f>
        <v>0</v>
      </c>
    </row>
    <row r="467" spans="1:14" s="392" customFormat="1" ht="18.75">
      <c r="A467" s="151"/>
      <c r="B467" s="164" t="s">
        <v>219</v>
      </c>
      <c r="C467" s="165" t="s">
        <v>331</v>
      </c>
      <c r="D467" s="150" t="s">
        <v>88</v>
      </c>
      <c r="E467" s="150" t="s">
        <v>59</v>
      </c>
      <c r="F467" s="744"/>
      <c r="G467" s="745"/>
      <c r="H467" s="745"/>
      <c r="I467" s="746"/>
      <c r="J467" s="150"/>
      <c r="K467" s="698">
        <f t="shared" ref="K467:N471" si="81">K468</f>
        <v>0</v>
      </c>
      <c r="L467" s="166">
        <f t="shared" si="81"/>
        <v>0</v>
      </c>
      <c r="M467" s="166">
        <f t="shared" si="81"/>
        <v>0</v>
      </c>
      <c r="N467" s="166">
        <f t="shared" si="81"/>
        <v>3689.7999999999997</v>
      </c>
    </row>
    <row r="468" spans="1:14" s="392" customFormat="1" ht="56.25" customHeight="1">
      <c r="A468" s="151"/>
      <c r="B468" s="164" t="s">
        <v>239</v>
      </c>
      <c r="C468" s="165" t="s">
        <v>331</v>
      </c>
      <c r="D468" s="150" t="s">
        <v>88</v>
      </c>
      <c r="E468" s="150" t="s">
        <v>59</v>
      </c>
      <c r="F468" s="744" t="s">
        <v>72</v>
      </c>
      <c r="G468" s="745" t="s">
        <v>62</v>
      </c>
      <c r="H468" s="745" t="s">
        <v>63</v>
      </c>
      <c r="I468" s="746" t="s">
        <v>64</v>
      </c>
      <c r="J468" s="150"/>
      <c r="K468" s="698">
        <f t="shared" si="81"/>
        <v>0</v>
      </c>
      <c r="L468" s="166">
        <f t="shared" si="81"/>
        <v>0</v>
      </c>
      <c r="M468" s="166">
        <f t="shared" si="81"/>
        <v>0</v>
      </c>
      <c r="N468" s="166">
        <f t="shared" si="81"/>
        <v>3689.7999999999997</v>
      </c>
    </row>
    <row r="469" spans="1:14" s="392" customFormat="1" ht="37.5">
      <c r="A469" s="151"/>
      <c r="B469" s="170" t="s">
        <v>240</v>
      </c>
      <c r="C469" s="165" t="s">
        <v>331</v>
      </c>
      <c r="D469" s="150" t="s">
        <v>88</v>
      </c>
      <c r="E469" s="150" t="s">
        <v>59</v>
      </c>
      <c r="F469" s="744" t="s">
        <v>72</v>
      </c>
      <c r="G469" s="745" t="s">
        <v>65</v>
      </c>
      <c r="H469" s="745" t="s">
        <v>63</v>
      </c>
      <c r="I469" s="746" t="s">
        <v>64</v>
      </c>
      <c r="J469" s="150"/>
      <c r="K469" s="698">
        <f t="shared" si="81"/>
        <v>0</v>
      </c>
      <c r="L469" s="166">
        <f t="shared" si="81"/>
        <v>0</v>
      </c>
      <c r="M469" s="166">
        <f t="shared" si="81"/>
        <v>0</v>
      </c>
      <c r="N469" s="166">
        <f t="shared" si="81"/>
        <v>3689.7999999999997</v>
      </c>
    </row>
    <row r="470" spans="1:14" s="392" customFormat="1" ht="21" customHeight="1">
      <c r="A470" s="151"/>
      <c r="B470" s="164" t="s">
        <v>903</v>
      </c>
      <c r="C470" s="165" t="s">
        <v>331</v>
      </c>
      <c r="D470" s="150" t="s">
        <v>88</v>
      </c>
      <c r="E470" s="150" t="s">
        <v>59</v>
      </c>
      <c r="F470" s="744" t="s">
        <v>72</v>
      </c>
      <c r="G470" s="745" t="s">
        <v>65</v>
      </c>
      <c r="H470" s="745" t="s">
        <v>902</v>
      </c>
      <c r="I470" s="746" t="s">
        <v>64</v>
      </c>
      <c r="J470" s="150"/>
      <c r="K470" s="698">
        <f t="shared" si="81"/>
        <v>0</v>
      </c>
      <c r="L470" s="166">
        <f t="shared" si="81"/>
        <v>0</v>
      </c>
      <c r="M470" s="166">
        <f t="shared" si="81"/>
        <v>0</v>
      </c>
      <c r="N470" s="166">
        <f t="shared" si="81"/>
        <v>3689.7999999999997</v>
      </c>
    </row>
    <row r="471" spans="1:14" s="392" customFormat="1" ht="56.25">
      <c r="A471" s="151"/>
      <c r="B471" s="164" t="s">
        <v>904</v>
      </c>
      <c r="C471" s="165" t="s">
        <v>331</v>
      </c>
      <c r="D471" s="150" t="s">
        <v>88</v>
      </c>
      <c r="E471" s="150" t="s">
        <v>59</v>
      </c>
      <c r="F471" s="744" t="s">
        <v>72</v>
      </c>
      <c r="G471" s="745" t="s">
        <v>65</v>
      </c>
      <c r="H471" s="745" t="s">
        <v>902</v>
      </c>
      <c r="I471" s="746" t="s">
        <v>921</v>
      </c>
      <c r="J471" s="150"/>
      <c r="K471" s="698">
        <f t="shared" si="81"/>
        <v>0</v>
      </c>
      <c r="L471" s="166">
        <f t="shared" si="81"/>
        <v>0</v>
      </c>
      <c r="M471" s="166">
        <f t="shared" si="81"/>
        <v>0</v>
      </c>
      <c r="N471" s="166">
        <f t="shared" si="81"/>
        <v>3689.7999999999997</v>
      </c>
    </row>
    <row r="472" spans="1:14" s="392" customFormat="1" ht="56.25">
      <c r="A472" s="151"/>
      <c r="B472" s="164" t="s">
        <v>75</v>
      </c>
      <c r="C472" s="165" t="s">
        <v>331</v>
      </c>
      <c r="D472" s="150" t="s">
        <v>88</v>
      </c>
      <c r="E472" s="150" t="s">
        <v>59</v>
      </c>
      <c r="F472" s="744" t="s">
        <v>72</v>
      </c>
      <c r="G472" s="745" t="s">
        <v>65</v>
      </c>
      <c r="H472" s="745" t="s">
        <v>902</v>
      </c>
      <c r="I472" s="746" t="s">
        <v>921</v>
      </c>
      <c r="J472" s="150" t="s">
        <v>76</v>
      </c>
      <c r="K472" s="698">
        <v>0</v>
      </c>
      <c r="L472" s="166">
        <f>M472-K472</f>
        <v>0</v>
      </c>
      <c r="M472" s="166">
        <v>0</v>
      </c>
      <c r="N472" s="719">
        <f>3579.1+110.7</f>
        <v>3689.7999999999997</v>
      </c>
    </row>
    <row r="473" spans="1:14" s="147" customFormat="1" ht="37.5">
      <c r="A473" s="151"/>
      <c r="B473" s="170" t="s">
        <v>221</v>
      </c>
      <c r="C473" s="165" t="s">
        <v>331</v>
      </c>
      <c r="D473" s="150" t="s">
        <v>88</v>
      </c>
      <c r="E473" s="150" t="s">
        <v>86</v>
      </c>
      <c r="F473" s="744"/>
      <c r="G473" s="745"/>
      <c r="H473" s="745"/>
      <c r="I473" s="746"/>
      <c r="J473" s="150"/>
      <c r="K473" s="698">
        <f t="shared" ref="K473:N476" si="82">K474</f>
        <v>2485.4</v>
      </c>
      <c r="L473" s="166">
        <f t="shared" si="82"/>
        <v>0</v>
      </c>
      <c r="M473" s="166">
        <f t="shared" si="82"/>
        <v>2485.4</v>
      </c>
      <c r="N473" s="166">
        <f t="shared" si="82"/>
        <v>2375.7000000000003</v>
      </c>
    </row>
    <row r="474" spans="1:14" s="147" customFormat="1" ht="60" customHeight="1">
      <c r="A474" s="151"/>
      <c r="B474" s="164" t="s">
        <v>239</v>
      </c>
      <c r="C474" s="165" t="s">
        <v>331</v>
      </c>
      <c r="D474" s="150" t="s">
        <v>88</v>
      </c>
      <c r="E474" s="150" t="s">
        <v>86</v>
      </c>
      <c r="F474" s="744" t="s">
        <v>72</v>
      </c>
      <c r="G474" s="745" t="s">
        <v>62</v>
      </c>
      <c r="H474" s="745" t="s">
        <v>63</v>
      </c>
      <c r="I474" s="746" t="s">
        <v>64</v>
      </c>
      <c r="J474" s="150"/>
      <c r="K474" s="698">
        <f t="shared" si="82"/>
        <v>2485.4</v>
      </c>
      <c r="L474" s="166">
        <f t="shared" si="82"/>
        <v>0</v>
      </c>
      <c r="M474" s="166">
        <f t="shared" si="82"/>
        <v>2485.4</v>
      </c>
      <c r="N474" s="166">
        <f t="shared" si="82"/>
        <v>2375.7000000000003</v>
      </c>
    </row>
    <row r="475" spans="1:14" s="147" customFormat="1" ht="37.5">
      <c r="A475" s="151"/>
      <c r="B475" s="168" t="s">
        <v>242</v>
      </c>
      <c r="C475" s="165" t="s">
        <v>331</v>
      </c>
      <c r="D475" s="150" t="s">
        <v>88</v>
      </c>
      <c r="E475" s="150" t="s">
        <v>86</v>
      </c>
      <c r="F475" s="744" t="s">
        <v>72</v>
      </c>
      <c r="G475" s="745" t="s">
        <v>110</v>
      </c>
      <c r="H475" s="745" t="s">
        <v>63</v>
      </c>
      <c r="I475" s="746" t="s">
        <v>64</v>
      </c>
      <c r="J475" s="150"/>
      <c r="K475" s="698">
        <f t="shared" si="82"/>
        <v>2485.4</v>
      </c>
      <c r="L475" s="166">
        <f t="shared" si="82"/>
        <v>0</v>
      </c>
      <c r="M475" s="166">
        <f t="shared" si="82"/>
        <v>2485.4</v>
      </c>
      <c r="N475" s="166">
        <f t="shared" si="82"/>
        <v>2375.7000000000003</v>
      </c>
    </row>
    <row r="476" spans="1:14" s="147" customFormat="1" ht="37.5">
      <c r="A476" s="151"/>
      <c r="B476" s="164" t="s">
        <v>322</v>
      </c>
      <c r="C476" s="165" t="s">
        <v>331</v>
      </c>
      <c r="D476" s="150" t="s">
        <v>88</v>
      </c>
      <c r="E476" s="150" t="s">
        <v>86</v>
      </c>
      <c r="F476" s="744" t="s">
        <v>72</v>
      </c>
      <c r="G476" s="745" t="s">
        <v>110</v>
      </c>
      <c r="H476" s="745" t="s">
        <v>57</v>
      </c>
      <c r="I476" s="746" t="s">
        <v>64</v>
      </c>
      <c r="J476" s="150"/>
      <c r="K476" s="698">
        <f t="shared" si="82"/>
        <v>2485.4</v>
      </c>
      <c r="L476" s="166">
        <f t="shared" si="82"/>
        <v>0</v>
      </c>
      <c r="M476" s="166">
        <f t="shared" si="82"/>
        <v>2485.4</v>
      </c>
      <c r="N476" s="166">
        <f t="shared" si="82"/>
        <v>2375.7000000000003</v>
      </c>
    </row>
    <row r="477" spans="1:14" s="147" customFormat="1" ht="37.5">
      <c r="A477" s="151"/>
      <c r="B477" s="164" t="s">
        <v>67</v>
      </c>
      <c r="C477" s="165" t="s">
        <v>331</v>
      </c>
      <c r="D477" s="150" t="s">
        <v>88</v>
      </c>
      <c r="E477" s="150" t="s">
        <v>86</v>
      </c>
      <c r="F477" s="744" t="s">
        <v>72</v>
      </c>
      <c r="G477" s="745" t="s">
        <v>110</v>
      </c>
      <c r="H477" s="745" t="s">
        <v>57</v>
      </c>
      <c r="I477" s="746" t="s">
        <v>68</v>
      </c>
      <c r="J477" s="150"/>
      <c r="K477" s="698">
        <f>K478+K479+K480</f>
        <v>2485.4</v>
      </c>
      <c r="L477" s="166">
        <f>L478+L479+L480</f>
        <v>0</v>
      </c>
      <c r="M477" s="166">
        <f>M478+M479+M480</f>
        <v>2485.4</v>
      </c>
      <c r="N477" s="166">
        <f>N478+N479+N480</f>
        <v>2375.7000000000003</v>
      </c>
    </row>
    <row r="478" spans="1:14" s="147" customFormat="1" ht="112.5">
      <c r="A478" s="151"/>
      <c r="B478" s="164" t="s">
        <v>69</v>
      </c>
      <c r="C478" s="165" t="s">
        <v>331</v>
      </c>
      <c r="D478" s="150" t="s">
        <v>88</v>
      </c>
      <c r="E478" s="150" t="s">
        <v>86</v>
      </c>
      <c r="F478" s="744" t="s">
        <v>72</v>
      </c>
      <c r="G478" s="745" t="s">
        <v>110</v>
      </c>
      <c r="H478" s="745" t="s">
        <v>57</v>
      </c>
      <c r="I478" s="746" t="s">
        <v>68</v>
      </c>
      <c r="J478" s="150" t="s">
        <v>70</v>
      </c>
      <c r="K478" s="698">
        <v>2371.8000000000002</v>
      </c>
      <c r="L478" s="166">
        <f>M478-K478</f>
        <v>0</v>
      </c>
      <c r="M478" s="166">
        <v>2371.8000000000002</v>
      </c>
      <c r="N478" s="166">
        <v>2371.8000000000002</v>
      </c>
    </row>
    <row r="479" spans="1:14" s="147" customFormat="1" ht="56.25">
      <c r="A479" s="151"/>
      <c r="B479" s="164" t="s">
        <v>75</v>
      </c>
      <c r="C479" s="165" t="s">
        <v>331</v>
      </c>
      <c r="D479" s="150" t="s">
        <v>88</v>
      </c>
      <c r="E479" s="150" t="s">
        <v>86</v>
      </c>
      <c r="F479" s="744" t="s">
        <v>72</v>
      </c>
      <c r="G479" s="745" t="s">
        <v>110</v>
      </c>
      <c r="H479" s="745" t="s">
        <v>57</v>
      </c>
      <c r="I479" s="746" t="s">
        <v>68</v>
      </c>
      <c r="J479" s="150" t="s">
        <v>76</v>
      </c>
      <c r="K479" s="698">
        <v>111.6</v>
      </c>
      <c r="L479" s="166">
        <f>M479-K479</f>
        <v>0</v>
      </c>
      <c r="M479" s="166">
        <v>111.6</v>
      </c>
      <c r="N479" s="166">
        <f>112.7-110.7</f>
        <v>2</v>
      </c>
    </row>
    <row r="480" spans="1:14" s="147" customFormat="1" ht="18.75">
      <c r="A480" s="151"/>
      <c r="B480" s="164" t="s">
        <v>77</v>
      </c>
      <c r="C480" s="165" t="s">
        <v>331</v>
      </c>
      <c r="D480" s="150" t="s">
        <v>88</v>
      </c>
      <c r="E480" s="150" t="s">
        <v>86</v>
      </c>
      <c r="F480" s="744" t="s">
        <v>72</v>
      </c>
      <c r="G480" s="745" t="s">
        <v>110</v>
      </c>
      <c r="H480" s="745" t="s">
        <v>57</v>
      </c>
      <c r="I480" s="746" t="s">
        <v>68</v>
      </c>
      <c r="J480" s="150" t="s">
        <v>78</v>
      </c>
      <c r="K480" s="698">
        <v>2</v>
      </c>
      <c r="L480" s="166">
        <f>M480-K480</f>
        <v>0</v>
      </c>
      <c r="M480" s="166">
        <v>2</v>
      </c>
      <c r="N480" s="166">
        <v>1.9</v>
      </c>
    </row>
    <row r="481" spans="1:14" s="147" customFormat="1" ht="18.75">
      <c r="A481" s="151"/>
      <c r="B481" s="164"/>
      <c r="C481" s="165"/>
      <c r="D481" s="150"/>
      <c r="E481" s="150"/>
      <c r="F481" s="744"/>
      <c r="G481" s="745"/>
      <c r="H481" s="745"/>
      <c r="I481" s="746"/>
      <c r="J481" s="150"/>
      <c r="K481" s="698"/>
      <c r="L481" s="166"/>
      <c r="M481" s="166"/>
      <c r="N481" s="166"/>
    </row>
    <row r="482" spans="1:14" s="392" customFormat="1" ht="56.25">
      <c r="A482" s="391">
        <v>8</v>
      </c>
      <c r="B482" s="158" t="s">
        <v>27</v>
      </c>
      <c r="C482" s="159" t="s">
        <v>327</v>
      </c>
      <c r="D482" s="160"/>
      <c r="E482" s="160"/>
      <c r="F482" s="161"/>
      <c r="G482" s="162"/>
      <c r="H482" s="162"/>
      <c r="I482" s="163"/>
      <c r="J482" s="160"/>
      <c r="K482" s="697">
        <f>K496+K483</f>
        <v>6151.9</v>
      </c>
      <c r="L482" s="189">
        <f>L496+L483</f>
        <v>0</v>
      </c>
      <c r="M482" s="189">
        <f>M496+M483</f>
        <v>6151.9</v>
      </c>
      <c r="N482" s="189">
        <f>N496+N483</f>
        <v>6157.1999999999989</v>
      </c>
    </row>
    <row r="483" spans="1:14" s="392" customFormat="1" ht="18.75">
      <c r="A483" s="391"/>
      <c r="B483" s="164" t="s">
        <v>56</v>
      </c>
      <c r="C483" s="165" t="s">
        <v>327</v>
      </c>
      <c r="D483" s="150" t="s">
        <v>57</v>
      </c>
      <c r="E483" s="150"/>
      <c r="F483" s="744"/>
      <c r="G483" s="745"/>
      <c r="H483" s="745"/>
      <c r="I483" s="746"/>
      <c r="J483" s="150"/>
      <c r="K483" s="698">
        <f t="shared" ref="K483:N485" si="83">K484</f>
        <v>122.39999999999999</v>
      </c>
      <c r="L483" s="583">
        <f t="shared" si="83"/>
        <v>0</v>
      </c>
      <c r="M483" s="583">
        <f t="shared" si="83"/>
        <v>122.39999999999999</v>
      </c>
      <c r="N483" s="583">
        <f t="shared" si="83"/>
        <v>122.39999999999999</v>
      </c>
    </row>
    <row r="484" spans="1:14" s="392" customFormat="1" ht="18.75">
      <c r="A484" s="391"/>
      <c r="B484" s="164" t="s">
        <v>91</v>
      </c>
      <c r="C484" s="165" t="s">
        <v>327</v>
      </c>
      <c r="D484" s="150" t="s">
        <v>57</v>
      </c>
      <c r="E484" s="150" t="s">
        <v>92</v>
      </c>
      <c r="F484" s="744"/>
      <c r="G484" s="745"/>
      <c r="H484" s="745"/>
      <c r="I484" s="746"/>
      <c r="J484" s="150"/>
      <c r="K484" s="698">
        <f t="shared" si="83"/>
        <v>122.39999999999999</v>
      </c>
      <c r="L484" s="583">
        <f t="shared" si="83"/>
        <v>0</v>
      </c>
      <c r="M484" s="583">
        <f t="shared" si="83"/>
        <v>122.39999999999999</v>
      </c>
      <c r="N484" s="583">
        <f t="shared" si="83"/>
        <v>122.39999999999999</v>
      </c>
    </row>
    <row r="485" spans="1:14" s="392" customFormat="1" ht="56.25">
      <c r="A485" s="391"/>
      <c r="B485" s="164" t="s">
        <v>243</v>
      </c>
      <c r="C485" s="165" t="s">
        <v>327</v>
      </c>
      <c r="D485" s="150" t="s">
        <v>57</v>
      </c>
      <c r="E485" s="150" t="s">
        <v>92</v>
      </c>
      <c r="F485" s="744" t="s">
        <v>86</v>
      </c>
      <c r="G485" s="745" t="s">
        <v>62</v>
      </c>
      <c r="H485" s="745" t="s">
        <v>63</v>
      </c>
      <c r="I485" s="746" t="s">
        <v>64</v>
      </c>
      <c r="J485" s="150"/>
      <c r="K485" s="698">
        <f t="shared" si="83"/>
        <v>122.39999999999999</v>
      </c>
      <c r="L485" s="583">
        <f t="shared" si="83"/>
        <v>0</v>
      </c>
      <c r="M485" s="583">
        <f t="shared" si="83"/>
        <v>122.39999999999999</v>
      </c>
      <c r="N485" s="583">
        <f t="shared" si="83"/>
        <v>122.39999999999999</v>
      </c>
    </row>
    <row r="486" spans="1:14" s="392" customFormat="1" ht="37.5">
      <c r="A486" s="391"/>
      <c r="B486" s="164" t="s">
        <v>242</v>
      </c>
      <c r="C486" s="165" t="s">
        <v>327</v>
      </c>
      <c r="D486" s="150" t="s">
        <v>57</v>
      </c>
      <c r="E486" s="150" t="s">
        <v>92</v>
      </c>
      <c r="F486" s="744" t="s">
        <v>86</v>
      </c>
      <c r="G486" s="745" t="s">
        <v>110</v>
      </c>
      <c r="H486" s="745" t="s">
        <v>63</v>
      </c>
      <c r="I486" s="746" t="s">
        <v>64</v>
      </c>
      <c r="J486" s="150"/>
      <c r="K486" s="698">
        <f>K487+K490+K493</f>
        <v>122.39999999999999</v>
      </c>
      <c r="L486" s="583">
        <f>L487+L490+L493</f>
        <v>0</v>
      </c>
      <c r="M486" s="583">
        <f>M487+M490+M493</f>
        <v>122.39999999999999</v>
      </c>
      <c r="N486" s="583">
        <f>N487+N490+N493</f>
        <v>122.39999999999999</v>
      </c>
    </row>
    <row r="487" spans="1:14" s="392" customFormat="1" ht="37.5">
      <c r="A487" s="391"/>
      <c r="B487" s="660" t="s">
        <v>428</v>
      </c>
      <c r="C487" s="165" t="s">
        <v>327</v>
      </c>
      <c r="D487" s="150" t="s">
        <v>57</v>
      </c>
      <c r="E487" s="150" t="s">
        <v>92</v>
      </c>
      <c r="F487" s="744" t="s">
        <v>86</v>
      </c>
      <c r="G487" s="745" t="s">
        <v>110</v>
      </c>
      <c r="H487" s="745" t="s">
        <v>59</v>
      </c>
      <c r="I487" s="746" t="s">
        <v>64</v>
      </c>
      <c r="J487" s="150"/>
      <c r="K487" s="698">
        <f t="shared" ref="K487:N488" si="84">K488</f>
        <v>65.099999999999994</v>
      </c>
      <c r="L487" s="583">
        <f t="shared" si="84"/>
        <v>0</v>
      </c>
      <c r="M487" s="583">
        <f t="shared" si="84"/>
        <v>65.099999999999994</v>
      </c>
      <c r="N487" s="583">
        <f t="shared" si="84"/>
        <v>65.099999999999994</v>
      </c>
    </row>
    <row r="488" spans="1:14" s="392" customFormat="1" ht="63" customHeight="1">
      <c r="A488" s="391"/>
      <c r="B488" s="660" t="s">
        <v>429</v>
      </c>
      <c r="C488" s="165" t="s">
        <v>327</v>
      </c>
      <c r="D488" s="150" t="s">
        <v>57</v>
      </c>
      <c r="E488" s="150" t="s">
        <v>92</v>
      </c>
      <c r="F488" s="744" t="s">
        <v>86</v>
      </c>
      <c r="G488" s="745" t="s">
        <v>110</v>
      </c>
      <c r="H488" s="745" t="s">
        <v>59</v>
      </c>
      <c r="I488" s="746" t="s">
        <v>126</v>
      </c>
      <c r="J488" s="150"/>
      <c r="K488" s="698">
        <f t="shared" si="84"/>
        <v>65.099999999999994</v>
      </c>
      <c r="L488" s="583">
        <f t="shared" si="84"/>
        <v>0</v>
      </c>
      <c r="M488" s="583">
        <f t="shared" si="84"/>
        <v>65.099999999999994</v>
      </c>
      <c r="N488" s="583">
        <f t="shared" si="84"/>
        <v>65.099999999999994</v>
      </c>
    </row>
    <row r="489" spans="1:14" s="392" customFormat="1" ht="56.25">
      <c r="A489" s="391"/>
      <c r="B489" s="660" t="s">
        <v>75</v>
      </c>
      <c r="C489" s="165" t="s">
        <v>327</v>
      </c>
      <c r="D489" s="150" t="s">
        <v>57</v>
      </c>
      <c r="E489" s="150" t="s">
        <v>92</v>
      </c>
      <c r="F489" s="744" t="s">
        <v>86</v>
      </c>
      <c r="G489" s="745" t="s">
        <v>110</v>
      </c>
      <c r="H489" s="745" t="s">
        <v>59</v>
      </c>
      <c r="I489" s="746" t="s">
        <v>126</v>
      </c>
      <c r="J489" s="150" t="s">
        <v>76</v>
      </c>
      <c r="K489" s="698">
        <v>65.099999999999994</v>
      </c>
      <c r="L489" s="166">
        <f>M489-K489</f>
        <v>0</v>
      </c>
      <c r="M489" s="583">
        <v>65.099999999999994</v>
      </c>
      <c r="N489" s="583">
        <v>65.099999999999994</v>
      </c>
    </row>
    <row r="490" spans="1:14" s="392" customFormat="1" ht="37.5">
      <c r="A490" s="391"/>
      <c r="B490" s="164" t="s">
        <v>804</v>
      </c>
      <c r="C490" s="165" t="s">
        <v>327</v>
      </c>
      <c r="D490" s="150" t="s">
        <v>57</v>
      </c>
      <c r="E490" s="150" t="s">
        <v>92</v>
      </c>
      <c r="F490" s="744" t="s">
        <v>86</v>
      </c>
      <c r="G490" s="745" t="s">
        <v>110</v>
      </c>
      <c r="H490" s="745" t="s">
        <v>84</v>
      </c>
      <c r="I490" s="746" t="s">
        <v>64</v>
      </c>
      <c r="J490" s="150"/>
      <c r="K490" s="698">
        <f t="shared" ref="K490:N491" si="85">K491</f>
        <v>14.8</v>
      </c>
      <c r="L490" s="583">
        <f t="shared" si="85"/>
        <v>0</v>
      </c>
      <c r="M490" s="583">
        <f t="shared" si="85"/>
        <v>14.8</v>
      </c>
      <c r="N490" s="583">
        <f t="shared" si="85"/>
        <v>14.8</v>
      </c>
    </row>
    <row r="491" spans="1:14" s="392" customFormat="1" ht="18.75">
      <c r="A491" s="391"/>
      <c r="B491" s="164" t="s">
        <v>802</v>
      </c>
      <c r="C491" s="165" t="s">
        <v>327</v>
      </c>
      <c r="D491" s="150" t="s">
        <v>57</v>
      </c>
      <c r="E491" s="150" t="s">
        <v>92</v>
      </c>
      <c r="F491" s="744" t="s">
        <v>86</v>
      </c>
      <c r="G491" s="745" t="s">
        <v>110</v>
      </c>
      <c r="H491" s="745" t="s">
        <v>84</v>
      </c>
      <c r="I491" s="746" t="s">
        <v>803</v>
      </c>
      <c r="J491" s="150"/>
      <c r="K491" s="698">
        <f t="shared" si="85"/>
        <v>14.8</v>
      </c>
      <c r="L491" s="583">
        <f t="shared" si="85"/>
        <v>0</v>
      </c>
      <c r="M491" s="583">
        <f t="shared" si="85"/>
        <v>14.8</v>
      </c>
      <c r="N491" s="583">
        <f t="shared" si="85"/>
        <v>14.8</v>
      </c>
    </row>
    <row r="492" spans="1:14" s="392" customFormat="1" ht="56.25">
      <c r="A492" s="391"/>
      <c r="B492" s="660" t="s">
        <v>75</v>
      </c>
      <c r="C492" s="165" t="s">
        <v>327</v>
      </c>
      <c r="D492" s="150" t="s">
        <v>57</v>
      </c>
      <c r="E492" s="150" t="s">
        <v>92</v>
      </c>
      <c r="F492" s="744" t="s">
        <v>86</v>
      </c>
      <c r="G492" s="745" t="s">
        <v>110</v>
      </c>
      <c r="H492" s="745" t="s">
        <v>84</v>
      </c>
      <c r="I492" s="746" t="s">
        <v>803</v>
      </c>
      <c r="J492" s="181" t="s">
        <v>76</v>
      </c>
      <c r="K492" s="698">
        <v>14.8</v>
      </c>
      <c r="L492" s="166">
        <f>M492-K492</f>
        <v>0</v>
      </c>
      <c r="M492" s="583">
        <v>14.8</v>
      </c>
      <c r="N492" s="583">
        <v>14.8</v>
      </c>
    </row>
    <row r="493" spans="1:14" s="392" customFormat="1" ht="37.5">
      <c r="A493" s="391"/>
      <c r="B493" s="660" t="s">
        <v>818</v>
      </c>
      <c r="C493" s="165" t="s">
        <v>327</v>
      </c>
      <c r="D493" s="150" t="s">
        <v>57</v>
      </c>
      <c r="E493" s="150" t="s">
        <v>92</v>
      </c>
      <c r="F493" s="744" t="s">
        <v>86</v>
      </c>
      <c r="G493" s="745" t="s">
        <v>110</v>
      </c>
      <c r="H493" s="745" t="s">
        <v>72</v>
      </c>
      <c r="I493" s="746" t="s">
        <v>64</v>
      </c>
      <c r="J493" s="160"/>
      <c r="K493" s="698">
        <f t="shared" ref="K493:N494" si="86">K494</f>
        <v>42.5</v>
      </c>
      <c r="L493" s="583">
        <f t="shared" si="86"/>
        <v>0</v>
      </c>
      <c r="M493" s="583">
        <f t="shared" si="86"/>
        <v>42.5</v>
      </c>
      <c r="N493" s="583">
        <f t="shared" si="86"/>
        <v>42.5</v>
      </c>
    </row>
    <row r="494" spans="1:14" s="392" customFormat="1" ht="37.5">
      <c r="A494" s="391"/>
      <c r="B494" s="592" t="s">
        <v>148</v>
      </c>
      <c r="C494" s="165" t="s">
        <v>327</v>
      </c>
      <c r="D494" s="150" t="s">
        <v>57</v>
      </c>
      <c r="E494" s="150" t="s">
        <v>92</v>
      </c>
      <c r="F494" s="744" t="s">
        <v>86</v>
      </c>
      <c r="G494" s="745" t="s">
        <v>110</v>
      </c>
      <c r="H494" s="745" t="s">
        <v>72</v>
      </c>
      <c r="I494" s="746" t="s">
        <v>111</v>
      </c>
      <c r="J494" s="160"/>
      <c r="K494" s="698">
        <f t="shared" si="86"/>
        <v>42.5</v>
      </c>
      <c r="L494" s="583">
        <f t="shared" si="86"/>
        <v>0</v>
      </c>
      <c r="M494" s="583">
        <f t="shared" si="86"/>
        <v>42.5</v>
      </c>
      <c r="N494" s="583">
        <f t="shared" si="86"/>
        <v>42.5</v>
      </c>
    </row>
    <row r="495" spans="1:14" s="392" customFormat="1" ht="56.25">
      <c r="A495" s="391"/>
      <c r="B495" s="660" t="s">
        <v>75</v>
      </c>
      <c r="C495" s="165" t="s">
        <v>327</v>
      </c>
      <c r="D495" s="150" t="s">
        <v>57</v>
      </c>
      <c r="E495" s="150" t="s">
        <v>92</v>
      </c>
      <c r="F495" s="744" t="s">
        <v>86</v>
      </c>
      <c r="G495" s="745" t="s">
        <v>110</v>
      </c>
      <c r="H495" s="745" t="s">
        <v>72</v>
      </c>
      <c r="I495" s="746" t="s">
        <v>111</v>
      </c>
      <c r="J495" s="181" t="s">
        <v>76</v>
      </c>
      <c r="K495" s="698">
        <v>42.5</v>
      </c>
      <c r="L495" s="166">
        <f>M495-K495</f>
        <v>0</v>
      </c>
      <c r="M495" s="583">
        <v>42.5</v>
      </c>
      <c r="N495" s="583">
        <v>42.5</v>
      </c>
    </row>
    <row r="496" spans="1:14" s="147" customFormat="1" ht="18.75">
      <c r="A496" s="391"/>
      <c r="B496" s="164" t="s">
        <v>201</v>
      </c>
      <c r="C496" s="165" t="s">
        <v>327</v>
      </c>
      <c r="D496" s="150" t="s">
        <v>246</v>
      </c>
      <c r="E496" s="150"/>
      <c r="F496" s="744"/>
      <c r="G496" s="745"/>
      <c r="H496" s="745"/>
      <c r="I496" s="746"/>
      <c r="J496" s="150"/>
      <c r="K496" s="698">
        <f>K497+K505</f>
        <v>6029.5</v>
      </c>
      <c r="L496" s="166">
        <f>L497+L505</f>
        <v>0</v>
      </c>
      <c r="M496" s="166">
        <f>M497+M505</f>
        <v>6029.5</v>
      </c>
      <c r="N496" s="166">
        <f>N497+N505</f>
        <v>6034.7999999999993</v>
      </c>
    </row>
    <row r="497" spans="1:14" s="392" customFormat="1" ht="18.75">
      <c r="A497" s="391"/>
      <c r="B497" s="164" t="s">
        <v>425</v>
      </c>
      <c r="C497" s="165" t="s">
        <v>327</v>
      </c>
      <c r="D497" s="150" t="s">
        <v>246</v>
      </c>
      <c r="E497" s="150" t="s">
        <v>246</v>
      </c>
      <c r="F497" s="744"/>
      <c r="G497" s="745"/>
      <c r="H497" s="745"/>
      <c r="I497" s="746"/>
      <c r="J497" s="150"/>
      <c r="K497" s="698">
        <f>K498</f>
        <v>3048.2</v>
      </c>
      <c r="L497" s="166">
        <f>L498</f>
        <v>0</v>
      </c>
      <c r="M497" s="166">
        <f>M498</f>
        <v>3048.2</v>
      </c>
      <c r="N497" s="166">
        <f>N498</f>
        <v>3048.2</v>
      </c>
    </row>
    <row r="498" spans="1:14" s="392" customFormat="1" ht="56.25">
      <c r="A498" s="391"/>
      <c r="B498" s="164" t="s">
        <v>243</v>
      </c>
      <c r="C498" s="165" t="s">
        <v>327</v>
      </c>
      <c r="D498" s="150" t="s">
        <v>246</v>
      </c>
      <c r="E498" s="150" t="s">
        <v>246</v>
      </c>
      <c r="F498" s="744" t="s">
        <v>86</v>
      </c>
      <c r="G498" s="745" t="s">
        <v>62</v>
      </c>
      <c r="H498" s="745" t="s">
        <v>63</v>
      </c>
      <c r="I498" s="746" t="s">
        <v>64</v>
      </c>
      <c r="J498" s="150"/>
      <c r="K498" s="698">
        <f t="shared" ref="K498:N500" si="87">K499</f>
        <v>3048.2</v>
      </c>
      <c r="L498" s="166">
        <f t="shared" si="87"/>
        <v>0</v>
      </c>
      <c r="M498" s="166">
        <f t="shared" si="87"/>
        <v>3048.2</v>
      </c>
      <c r="N498" s="166">
        <f t="shared" si="87"/>
        <v>3048.2</v>
      </c>
    </row>
    <row r="499" spans="1:14" s="392" customFormat="1" ht="18.75">
      <c r="A499" s="391"/>
      <c r="B499" s="164" t="s">
        <v>244</v>
      </c>
      <c r="C499" s="165" t="s">
        <v>327</v>
      </c>
      <c r="D499" s="150" t="s">
        <v>246</v>
      </c>
      <c r="E499" s="150" t="s">
        <v>246</v>
      </c>
      <c r="F499" s="744" t="s">
        <v>86</v>
      </c>
      <c r="G499" s="745" t="s">
        <v>65</v>
      </c>
      <c r="H499" s="745" t="s">
        <v>63</v>
      </c>
      <c r="I499" s="746" t="s">
        <v>64</v>
      </c>
      <c r="J499" s="150"/>
      <c r="K499" s="698">
        <f t="shared" si="87"/>
        <v>3048.2</v>
      </c>
      <c r="L499" s="166">
        <f t="shared" si="87"/>
        <v>0</v>
      </c>
      <c r="M499" s="166">
        <f t="shared" si="87"/>
        <v>3048.2</v>
      </c>
      <c r="N499" s="166">
        <f t="shared" si="87"/>
        <v>3048.2</v>
      </c>
    </row>
    <row r="500" spans="1:14" s="392" customFormat="1" ht="78" customHeight="1">
      <c r="A500" s="391"/>
      <c r="B500" s="164" t="s">
        <v>328</v>
      </c>
      <c r="C500" s="165" t="s">
        <v>327</v>
      </c>
      <c r="D500" s="150" t="s">
        <v>246</v>
      </c>
      <c r="E500" s="150" t="s">
        <v>246</v>
      </c>
      <c r="F500" s="744" t="s">
        <v>86</v>
      </c>
      <c r="G500" s="745" t="s">
        <v>65</v>
      </c>
      <c r="H500" s="745" t="s">
        <v>57</v>
      </c>
      <c r="I500" s="746" t="s">
        <v>64</v>
      </c>
      <c r="J500" s="150"/>
      <c r="K500" s="698">
        <f t="shared" si="87"/>
        <v>3048.2</v>
      </c>
      <c r="L500" s="166">
        <f t="shared" si="87"/>
        <v>0</v>
      </c>
      <c r="M500" s="166">
        <f t="shared" si="87"/>
        <v>3048.2</v>
      </c>
      <c r="N500" s="166">
        <f t="shared" si="87"/>
        <v>3048.2</v>
      </c>
    </row>
    <row r="501" spans="1:14" s="392" customFormat="1" ht="39" customHeight="1">
      <c r="A501" s="391"/>
      <c r="B501" s="304" t="s">
        <v>800</v>
      </c>
      <c r="C501" s="165" t="s">
        <v>327</v>
      </c>
      <c r="D501" s="150" t="s">
        <v>246</v>
      </c>
      <c r="E501" s="150" t="s">
        <v>246</v>
      </c>
      <c r="F501" s="744" t="s">
        <v>86</v>
      </c>
      <c r="G501" s="745" t="s">
        <v>65</v>
      </c>
      <c r="H501" s="745" t="s">
        <v>57</v>
      </c>
      <c r="I501" s="746" t="s">
        <v>112</v>
      </c>
      <c r="J501" s="150"/>
      <c r="K501" s="698">
        <f>K502+K503+K504</f>
        <v>3048.2</v>
      </c>
      <c r="L501" s="166">
        <f>L502+L503+L504</f>
        <v>0</v>
      </c>
      <c r="M501" s="166">
        <f>M502+M503+M504</f>
        <v>3048.2</v>
      </c>
      <c r="N501" s="166">
        <f>N502+N503+N504</f>
        <v>3048.2</v>
      </c>
    </row>
    <row r="502" spans="1:14" s="392" customFormat="1" ht="112.5">
      <c r="A502" s="151"/>
      <c r="B502" s="164" t="s">
        <v>69</v>
      </c>
      <c r="C502" s="165" t="s">
        <v>327</v>
      </c>
      <c r="D502" s="150" t="s">
        <v>246</v>
      </c>
      <c r="E502" s="150" t="s">
        <v>246</v>
      </c>
      <c r="F502" s="744" t="s">
        <v>86</v>
      </c>
      <c r="G502" s="745" t="s">
        <v>65</v>
      </c>
      <c r="H502" s="745" t="s">
        <v>57</v>
      </c>
      <c r="I502" s="746" t="s">
        <v>112</v>
      </c>
      <c r="J502" s="150" t="s">
        <v>70</v>
      </c>
      <c r="K502" s="698">
        <v>2667.4</v>
      </c>
      <c r="L502" s="166">
        <f>M502-K502</f>
        <v>0</v>
      </c>
      <c r="M502" s="166">
        <v>2667.4</v>
      </c>
      <c r="N502" s="166">
        <v>2667.4</v>
      </c>
    </row>
    <row r="503" spans="1:14" s="147" customFormat="1" ht="56.25">
      <c r="A503" s="151"/>
      <c r="B503" s="164" t="s">
        <v>75</v>
      </c>
      <c r="C503" s="165" t="s">
        <v>327</v>
      </c>
      <c r="D503" s="150" t="s">
        <v>246</v>
      </c>
      <c r="E503" s="150" t="s">
        <v>246</v>
      </c>
      <c r="F503" s="744" t="s">
        <v>86</v>
      </c>
      <c r="G503" s="745" t="s">
        <v>65</v>
      </c>
      <c r="H503" s="745" t="s">
        <v>57</v>
      </c>
      <c r="I503" s="746" t="s">
        <v>112</v>
      </c>
      <c r="J503" s="150" t="s">
        <v>76</v>
      </c>
      <c r="K503" s="698">
        <v>378.1</v>
      </c>
      <c r="L503" s="166">
        <f>M503-K503</f>
        <v>0</v>
      </c>
      <c r="M503" s="166">
        <v>378.1</v>
      </c>
      <c r="N503" s="166">
        <v>378.1</v>
      </c>
    </row>
    <row r="504" spans="1:14" s="147" customFormat="1" ht="18.75">
      <c r="A504" s="151"/>
      <c r="B504" s="164" t="s">
        <v>77</v>
      </c>
      <c r="C504" s="165" t="s">
        <v>327</v>
      </c>
      <c r="D504" s="150" t="s">
        <v>246</v>
      </c>
      <c r="E504" s="150" t="s">
        <v>246</v>
      </c>
      <c r="F504" s="744" t="s">
        <v>86</v>
      </c>
      <c r="G504" s="745" t="s">
        <v>65</v>
      </c>
      <c r="H504" s="745" t="s">
        <v>57</v>
      </c>
      <c r="I504" s="746" t="s">
        <v>112</v>
      </c>
      <c r="J504" s="150" t="s">
        <v>78</v>
      </c>
      <c r="K504" s="698">
        <v>2.7</v>
      </c>
      <c r="L504" s="166">
        <f>M504-K504</f>
        <v>0</v>
      </c>
      <c r="M504" s="166">
        <v>2.7</v>
      </c>
      <c r="N504" s="166">
        <v>2.7</v>
      </c>
    </row>
    <row r="505" spans="1:14" s="147" customFormat="1" ht="18.75">
      <c r="A505" s="151"/>
      <c r="B505" s="164" t="s">
        <v>208</v>
      </c>
      <c r="C505" s="430" t="s">
        <v>327</v>
      </c>
      <c r="D505" s="150" t="s">
        <v>246</v>
      </c>
      <c r="E505" s="150" t="s">
        <v>100</v>
      </c>
      <c r="F505" s="744"/>
      <c r="G505" s="745"/>
      <c r="H505" s="745"/>
      <c r="I505" s="746"/>
      <c r="J505" s="150"/>
      <c r="K505" s="698">
        <f t="shared" ref="K505:N508" si="88">K506</f>
        <v>2981.2999999999997</v>
      </c>
      <c r="L505" s="166">
        <f t="shared" si="88"/>
        <v>0</v>
      </c>
      <c r="M505" s="166">
        <f t="shared" si="88"/>
        <v>2981.2999999999997</v>
      </c>
      <c r="N505" s="166">
        <f t="shared" si="88"/>
        <v>2986.6</v>
      </c>
    </row>
    <row r="506" spans="1:14" s="147" customFormat="1" ht="56.25">
      <c r="A506" s="151"/>
      <c r="B506" s="164" t="s">
        <v>243</v>
      </c>
      <c r="C506" s="430" t="s">
        <v>327</v>
      </c>
      <c r="D506" s="150" t="s">
        <v>246</v>
      </c>
      <c r="E506" s="150" t="s">
        <v>100</v>
      </c>
      <c r="F506" s="744" t="s">
        <v>86</v>
      </c>
      <c r="G506" s="745" t="s">
        <v>62</v>
      </c>
      <c r="H506" s="745" t="s">
        <v>63</v>
      </c>
      <c r="I506" s="746" t="s">
        <v>64</v>
      </c>
      <c r="J506" s="150"/>
      <c r="K506" s="698">
        <f t="shared" si="88"/>
        <v>2981.2999999999997</v>
      </c>
      <c r="L506" s="166">
        <f t="shared" si="88"/>
        <v>0</v>
      </c>
      <c r="M506" s="166">
        <f t="shared" si="88"/>
        <v>2981.2999999999997</v>
      </c>
      <c r="N506" s="166">
        <f t="shared" si="88"/>
        <v>2986.6</v>
      </c>
    </row>
    <row r="507" spans="1:14" s="147" customFormat="1" ht="37.5">
      <c r="A507" s="151"/>
      <c r="B507" s="164" t="s">
        <v>242</v>
      </c>
      <c r="C507" s="165" t="s">
        <v>327</v>
      </c>
      <c r="D507" s="150" t="s">
        <v>246</v>
      </c>
      <c r="E507" s="150" t="s">
        <v>100</v>
      </c>
      <c r="F507" s="744" t="s">
        <v>86</v>
      </c>
      <c r="G507" s="745" t="s">
        <v>110</v>
      </c>
      <c r="H507" s="745" t="s">
        <v>63</v>
      </c>
      <c r="I507" s="746" t="s">
        <v>64</v>
      </c>
      <c r="J507" s="150"/>
      <c r="K507" s="698">
        <f t="shared" si="88"/>
        <v>2981.2999999999997</v>
      </c>
      <c r="L507" s="166">
        <f t="shared" si="88"/>
        <v>0</v>
      </c>
      <c r="M507" s="166">
        <f t="shared" si="88"/>
        <v>2981.2999999999997</v>
      </c>
      <c r="N507" s="166">
        <f t="shared" si="88"/>
        <v>2986.6</v>
      </c>
    </row>
    <row r="508" spans="1:14" s="392" customFormat="1" ht="37.5">
      <c r="A508" s="151"/>
      <c r="B508" s="164" t="s">
        <v>322</v>
      </c>
      <c r="C508" s="165" t="s">
        <v>327</v>
      </c>
      <c r="D508" s="150" t="s">
        <v>246</v>
      </c>
      <c r="E508" s="150" t="s">
        <v>100</v>
      </c>
      <c r="F508" s="744" t="s">
        <v>86</v>
      </c>
      <c r="G508" s="745" t="s">
        <v>110</v>
      </c>
      <c r="H508" s="745" t="s">
        <v>57</v>
      </c>
      <c r="I508" s="746" t="s">
        <v>64</v>
      </c>
      <c r="J508" s="150"/>
      <c r="K508" s="698">
        <f t="shared" si="88"/>
        <v>2981.2999999999997</v>
      </c>
      <c r="L508" s="166">
        <f t="shared" si="88"/>
        <v>0</v>
      </c>
      <c r="M508" s="166">
        <f t="shared" si="88"/>
        <v>2981.2999999999997</v>
      </c>
      <c r="N508" s="166">
        <f t="shared" si="88"/>
        <v>2986.6</v>
      </c>
    </row>
    <row r="509" spans="1:14" s="147" customFormat="1" ht="37.5">
      <c r="A509" s="151"/>
      <c r="B509" s="164" t="s">
        <v>67</v>
      </c>
      <c r="C509" s="165" t="s">
        <v>327</v>
      </c>
      <c r="D509" s="150" t="s">
        <v>246</v>
      </c>
      <c r="E509" s="150" t="s">
        <v>100</v>
      </c>
      <c r="F509" s="744" t="s">
        <v>86</v>
      </c>
      <c r="G509" s="745" t="s">
        <v>110</v>
      </c>
      <c r="H509" s="745" t="s">
        <v>57</v>
      </c>
      <c r="I509" s="746" t="s">
        <v>68</v>
      </c>
      <c r="J509" s="150"/>
      <c r="K509" s="698">
        <f>K510+K511+K512</f>
        <v>2981.2999999999997</v>
      </c>
      <c r="L509" s="166">
        <f>L510+L511+L512</f>
        <v>0</v>
      </c>
      <c r="M509" s="166">
        <f>M510+M511+M512</f>
        <v>2981.2999999999997</v>
      </c>
      <c r="N509" s="166">
        <f>N510+N511+N512</f>
        <v>2986.6</v>
      </c>
    </row>
    <row r="510" spans="1:14" s="147" customFormat="1" ht="112.5">
      <c r="A510" s="151"/>
      <c r="B510" s="164" t="s">
        <v>69</v>
      </c>
      <c r="C510" s="165" t="s">
        <v>327</v>
      </c>
      <c r="D510" s="150" t="s">
        <v>246</v>
      </c>
      <c r="E510" s="150" t="s">
        <v>100</v>
      </c>
      <c r="F510" s="744" t="s">
        <v>86</v>
      </c>
      <c r="G510" s="745" t="s">
        <v>110</v>
      </c>
      <c r="H510" s="745" t="s">
        <v>57</v>
      </c>
      <c r="I510" s="746" t="s">
        <v>68</v>
      </c>
      <c r="J510" s="150" t="s">
        <v>70</v>
      </c>
      <c r="K510" s="698">
        <v>2735.5</v>
      </c>
      <c r="L510" s="166">
        <f>M510-K510</f>
        <v>0</v>
      </c>
      <c r="M510" s="166">
        <v>2735.5</v>
      </c>
      <c r="N510" s="166">
        <v>2735.5</v>
      </c>
    </row>
    <row r="511" spans="1:14" s="147" customFormat="1" ht="56.25">
      <c r="A511" s="151"/>
      <c r="B511" s="164" t="s">
        <v>75</v>
      </c>
      <c r="C511" s="430" t="s">
        <v>327</v>
      </c>
      <c r="D511" s="323" t="s">
        <v>246</v>
      </c>
      <c r="E511" s="323" t="s">
        <v>100</v>
      </c>
      <c r="F511" s="744" t="s">
        <v>86</v>
      </c>
      <c r="G511" s="745" t="s">
        <v>110</v>
      </c>
      <c r="H511" s="745" t="s">
        <v>57</v>
      </c>
      <c r="I511" s="746" t="s">
        <v>68</v>
      </c>
      <c r="J511" s="150" t="s">
        <v>76</v>
      </c>
      <c r="K511" s="698">
        <v>244.6</v>
      </c>
      <c r="L511" s="166">
        <f>M511-K511</f>
        <v>0</v>
      </c>
      <c r="M511" s="166">
        <v>244.6</v>
      </c>
      <c r="N511" s="166">
        <v>249.9</v>
      </c>
    </row>
    <row r="512" spans="1:14" s="147" customFormat="1" ht="18.75">
      <c r="A512" s="151"/>
      <c r="B512" s="164" t="s">
        <v>77</v>
      </c>
      <c r="C512" s="430" t="s">
        <v>327</v>
      </c>
      <c r="D512" s="323" t="s">
        <v>246</v>
      </c>
      <c r="E512" s="323" t="s">
        <v>100</v>
      </c>
      <c r="F512" s="744" t="s">
        <v>86</v>
      </c>
      <c r="G512" s="745" t="s">
        <v>110</v>
      </c>
      <c r="H512" s="745" t="s">
        <v>57</v>
      </c>
      <c r="I512" s="746" t="s">
        <v>68</v>
      </c>
      <c r="J512" s="150" t="s">
        <v>78</v>
      </c>
      <c r="K512" s="698">
        <v>1.2</v>
      </c>
      <c r="L512" s="166">
        <f>M512-K512</f>
        <v>0</v>
      </c>
      <c r="M512" s="166">
        <v>1.2</v>
      </c>
      <c r="N512" s="166">
        <v>1.2</v>
      </c>
    </row>
    <row r="513" spans="1:14" s="147" customFormat="1" ht="18.75">
      <c r="A513" s="151"/>
      <c r="B513" s="164"/>
      <c r="C513" s="430"/>
      <c r="D513" s="323"/>
      <c r="E513" s="323"/>
      <c r="F513" s="744"/>
      <c r="G513" s="745"/>
      <c r="H513" s="745"/>
      <c r="I513" s="746"/>
      <c r="J513" s="150"/>
      <c r="K513" s="698"/>
      <c r="L513" s="166"/>
      <c r="M513" s="166"/>
      <c r="N513" s="166"/>
    </row>
    <row r="514" spans="1:14" s="392" customFormat="1" ht="56.25">
      <c r="A514" s="391">
        <v>9</v>
      </c>
      <c r="B514" s="158" t="s">
        <v>28</v>
      </c>
      <c r="C514" s="159" t="s">
        <v>338</v>
      </c>
      <c r="D514" s="160"/>
      <c r="E514" s="160"/>
      <c r="F514" s="161"/>
      <c r="G514" s="162"/>
      <c r="H514" s="162"/>
      <c r="I514" s="163"/>
      <c r="J514" s="160"/>
      <c r="K514" s="697">
        <f>K515+K522</f>
        <v>68121.8</v>
      </c>
      <c r="L514" s="189">
        <f>L515+L522</f>
        <v>0</v>
      </c>
      <c r="M514" s="189">
        <f>M515+M522</f>
        <v>68121.8</v>
      </c>
      <c r="N514" s="189">
        <f>N515+N522</f>
        <v>69504.600000000006</v>
      </c>
    </row>
    <row r="515" spans="1:14" s="147" customFormat="1" ht="18.75">
      <c r="A515" s="151"/>
      <c r="B515" s="170" t="s">
        <v>201</v>
      </c>
      <c r="C515" s="165" t="s">
        <v>338</v>
      </c>
      <c r="D515" s="150" t="s">
        <v>246</v>
      </c>
      <c r="E515" s="150"/>
      <c r="F515" s="744"/>
      <c r="G515" s="745"/>
      <c r="H515" s="745"/>
      <c r="I515" s="746"/>
      <c r="J515" s="150"/>
      <c r="K515" s="698">
        <f t="shared" ref="K515:N520" si="89">K516</f>
        <v>10.1</v>
      </c>
      <c r="L515" s="166">
        <f t="shared" si="89"/>
        <v>0</v>
      </c>
      <c r="M515" s="166">
        <f t="shared" si="89"/>
        <v>10.1</v>
      </c>
      <c r="N515" s="166">
        <f t="shared" si="89"/>
        <v>10.1</v>
      </c>
    </row>
    <row r="516" spans="1:14" s="392" customFormat="1" ht="18.75">
      <c r="A516" s="151"/>
      <c r="B516" s="164" t="s">
        <v>425</v>
      </c>
      <c r="C516" s="165" t="s">
        <v>338</v>
      </c>
      <c r="D516" s="150" t="s">
        <v>246</v>
      </c>
      <c r="E516" s="150" t="s">
        <v>246</v>
      </c>
      <c r="F516" s="744"/>
      <c r="G516" s="745"/>
      <c r="H516" s="745"/>
      <c r="I516" s="746"/>
      <c r="J516" s="150"/>
      <c r="K516" s="698">
        <f t="shared" si="89"/>
        <v>10.1</v>
      </c>
      <c r="L516" s="166">
        <f t="shared" si="89"/>
        <v>0</v>
      </c>
      <c r="M516" s="166">
        <f t="shared" si="89"/>
        <v>10.1</v>
      </c>
      <c r="N516" s="166">
        <f t="shared" si="89"/>
        <v>10.1</v>
      </c>
    </row>
    <row r="517" spans="1:14" s="392" customFormat="1" ht="56.25">
      <c r="A517" s="151"/>
      <c r="B517" s="164" t="s">
        <v>339</v>
      </c>
      <c r="C517" s="165" t="s">
        <v>338</v>
      </c>
      <c r="D517" s="150" t="s">
        <v>246</v>
      </c>
      <c r="E517" s="150" t="s">
        <v>246</v>
      </c>
      <c r="F517" s="744" t="s">
        <v>100</v>
      </c>
      <c r="G517" s="745" t="s">
        <v>62</v>
      </c>
      <c r="H517" s="745" t="s">
        <v>63</v>
      </c>
      <c r="I517" s="746" t="s">
        <v>64</v>
      </c>
      <c r="J517" s="150"/>
      <c r="K517" s="698">
        <f t="shared" si="89"/>
        <v>10.1</v>
      </c>
      <c r="L517" s="166">
        <f t="shared" si="89"/>
        <v>0</v>
      </c>
      <c r="M517" s="166">
        <f t="shared" si="89"/>
        <v>10.1</v>
      </c>
      <c r="N517" s="166">
        <f t="shared" si="89"/>
        <v>10.1</v>
      </c>
    </row>
    <row r="518" spans="1:14" s="392" customFormat="1" ht="37.5">
      <c r="A518" s="151"/>
      <c r="B518" s="164" t="s">
        <v>404</v>
      </c>
      <c r="C518" s="165" t="s">
        <v>338</v>
      </c>
      <c r="D518" s="150" t="s">
        <v>246</v>
      </c>
      <c r="E518" s="150" t="s">
        <v>246</v>
      </c>
      <c r="F518" s="744" t="s">
        <v>100</v>
      </c>
      <c r="G518" s="745" t="s">
        <v>65</v>
      </c>
      <c r="H518" s="745" t="s">
        <v>63</v>
      </c>
      <c r="I518" s="746" t="s">
        <v>64</v>
      </c>
      <c r="J518" s="150"/>
      <c r="K518" s="698">
        <f t="shared" si="89"/>
        <v>10.1</v>
      </c>
      <c r="L518" s="166">
        <f t="shared" si="89"/>
        <v>0</v>
      </c>
      <c r="M518" s="166">
        <f t="shared" si="89"/>
        <v>10.1</v>
      </c>
      <c r="N518" s="166">
        <f t="shared" si="89"/>
        <v>10.1</v>
      </c>
    </row>
    <row r="519" spans="1:14" s="392" customFormat="1" ht="37.5">
      <c r="A519" s="151"/>
      <c r="B519" s="164" t="s">
        <v>325</v>
      </c>
      <c r="C519" s="165" t="s">
        <v>338</v>
      </c>
      <c r="D519" s="150" t="s">
        <v>246</v>
      </c>
      <c r="E519" s="150" t="s">
        <v>246</v>
      </c>
      <c r="F519" s="744" t="s">
        <v>100</v>
      </c>
      <c r="G519" s="745" t="s">
        <v>65</v>
      </c>
      <c r="H519" s="745" t="s">
        <v>57</v>
      </c>
      <c r="I519" s="746" t="s">
        <v>64</v>
      </c>
      <c r="J519" s="150"/>
      <c r="K519" s="698">
        <f t="shared" si="89"/>
        <v>10.1</v>
      </c>
      <c r="L519" s="166">
        <f t="shared" si="89"/>
        <v>0</v>
      </c>
      <c r="M519" s="166">
        <f t="shared" si="89"/>
        <v>10.1</v>
      </c>
      <c r="N519" s="166">
        <f t="shared" si="89"/>
        <v>10.1</v>
      </c>
    </row>
    <row r="520" spans="1:14" s="392" customFormat="1" ht="153.75" customHeight="1">
      <c r="A520" s="151"/>
      <c r="B520" s="432" t="s">
        <v>439</v>
      </c>
      <c r="C520" s="165" t="s">
        <v>338</v>
      </c>
      <c r="D520" s="150" t="s">
        <v>246</v>
      </c>
      <c r="E520" s="150" t="s">
        <v>246</v>
      </c>
      <c r="F520" s="744" t="s">
        <v>100</v>
      </c>
      <c r="G520" s="745" t="s">
        <v>65</v>
      </c>
      <c r="H520" s="745" t="s">
        <v>57</v>
      </c>
      <c r="I520" s="746" t="s">
        <v>340</v>
      </c>
      <c r="J520" s="150"/>
      <c r="K520" s="698">
        <f t="shared" si="89"/>
        <v>10.1</v>
      </c>
      <c r="L520" s="166">
        <f t="shared" si="89"/>
        <v>0</v>
      </c>
      <c r="M520" s="166">
        <f t="shared" si="89"/>
        <v>10.1</v>
      </c>
      <c r="N520" s="166">
        <f t="shared" si="89"/>
        <v>10.1</v>
      </c>
    </row>
    <row r="521" spans="1:14" s="392" customFormat="1" ht="37.5">
      <c r="A521" s="151"/>
      <c r="B521" s="164" t="s">
        <v>141</v>
      </c>
      <c r="C521" s="165" t="s">
        <v>338</v>
      </c>
      <c r="D521" s="150" t="s">
        <v>246</v>
      </c>
      <c r="E521" s="150" t="s">
        <v>246</v>
      </c>
      <c r="F521" s="744" t="s">
        <v>100</v>
      </c>
      <c r="G521" s="745" t="s">
        <v>65</v>
      </c>
      <c r="H521" s="745" t="s">
        <v>57</v>
      </c>
      <c r="I521" s="746" t="s">
        <v>340</v>
      </c>
      <c r="J521" s="150" t="s">
        <v>142</v>
      </c>
      <c r="K521" s="698">
        <v>10.1</v>
      </c>
      <c r="L521" s="166">
        <f>M521-K521</f>
        <v>0</v>
      </c>
      <c r="M521" s="166">
        <v>10.1</v>
      </c>
      <c r="N521" s="166">
        <v>10.1</v>
      </c>
    </row>
    <row r="522" spans="1:14" s="147" customFormat="1" ht="18.75">
      <c r="A522" s="151"/>
      <c r="B522" s="170" t="s">
        <v>140</v>
      </c>
      <c r="C522" s="165" t="s">
        <v>338</v>
      </c>
      <c r="D522" s="150" t="s">
        <v>125</v>
      </c>
      <c r="E522" s="150"/>
      <c r="F522" s="744"/>
      <c r="G522" s="745"/>
      <c r="H522" s="745"/>
      <c r="I522" s="746"/>
      <c r="J522" s="150"/>
      <c r="K522" s="698">
        <f>K523+K539</f>
        <v>68111.7</v>
      </c>
      <c r="L522" s="166">
        <f>L523+L539</f>
        <v>0</v>
      </c>
      <c r="M522" s="166">
        <f>M523+M539</f>
        <v>68111.7</v>
      </c>
      <c r="N522" s="166">
        <f>N523+N539</f>
        <v>69494.5</v>
      </c>
    </row>
    <row r="523" spans="1:14" s="147" customFormat="1" ht="18.75">
      <c r="A523" s="151"/>
      <c r="B523" s="164" t="s">
        <v>215</v>
      </c>
      <c r="C523" s="165" t="s">
        <v>338</v>
      </c>
      <c r="D523" s="150" t="s">
        <v>125</v>
      </c>
      <c r="E523" s="150" t="s">
        <v>72</v>
      </c>
      <c r="F523" s="744"/>
      <c r="G523" s="745"/>
      <c r="H523" s="745"/>
      <c r="I523" s="746"/>
      <c r="J523" s="150"/>
      <c r="K523" s="698">
        <f t="shared" ref="K523:N525" si="90">K524</f>
        <v>60520</v>
      </c>
      <c r="L523" s="166">
        <f t="shared" si="90"/>
        <v>0</v>
      </c>
      <c r="M523" s="166">
        <f t="shared" si="90"/>
        <v>60520</v>
      </c>
      <c r="N523" s="166">
        <f t="shared" si="90"/>
        <v>61902.799999999996</v>
      </c>
    </row>
    <row r="524" spans="1:14" s="147" customFormat="1" ht="56.25">
      <c r="A524" s="151"/>
      <c r="B524" s="168" t="s">
        <v>252</v>
      </c>
      <c r="C524" s="165" t="s">
        <v>338</v>
      </c>
      <c r="D524" s="150" t="s">
        <v>125</v>
      </c>
      <c r="E524" s="150" t="s">
        <v>72</v>
      </c>
      <c r="F524" s="744" t="s">
        <v>100</v>
      </c>
      <c r="G524" s="745" t="s">
        <v>62</v>
      </c>
      <c r="H524" s="745" t="s">
        <v>63</v>
      </c>
      <c r="I524" s="746" t="s">
        <v>64</v>
      </c>
      <c r="J524" s="150"/>
      <c r="K524" s="698">
        <f t="shared" si="90"/>
        <v>60520</v>
      </c>
      <c r="L524" s="166">
        <f t="shared" si="90"/>
        <v>0</v>
      </c>
      <c r="M524" s="166">
        <f t="shared" si="90"/>
        <v>60520</v>
      </c>
      <c r="N524" s="166">
        <f t="shared" si="90"/>
        <v>61902.799999999996</v>
      </c>
    </row>
    <row r="525" spans="1:14" s="147" customFormat="1" ht="37.5">
      <c r="A525" s="151"/>
      <c r="B525" s="164" t="s">
        <v>404</v>
      </c>
      <c r="C525" s="165" t="s">
        <v>338</v>
      </c>
      <c r="D525" s="150" t="s">
        <v>125</v>
      </c>
      <c r="E525" s="150" t="s">
        <v>72</v>
      </c>
      <c r="F525" s="744" t="s">
        <v>100</v>
      </c>
      <c r="G525" s="745" t="s">
        <v>65</v>
      </c>
      <c r="H525" s="745" t="s">
        <v>63</v>
      </c>
      <c r="I525" s="746" t="s">
        <v>64</v>
      </c>
      <c r="J525" s="150"/>
      <c r="K525" s="698">
        <f t="shared" si="90"/>
        <v>60520</v>
      </c>
      <c r="L525" s="166">
        <f t="shared" si="90"/>
        <v>0</v>
      </c>
      <c r="M525" s="166">
        <f t="shared" si="90"/>
        <v>60520</v>
      </c>
      <c r="N525" s="166">
        <f t="shared" si="90"/>
        <v>61902.799999999996</v>
      </c>
    </row>
    <row r="526" spans="1:14" s="392" customFormat="1" ht="37.5">
      <c r="A526" s="151"/>
      <c r="B526" s="164" t="s">
        <v>325</v>
      </c>
      <c r="C526" s="165" t="s">
        <v>338</v>
      </c>
      <c r="D526" s="150" t="s">
        <v>125</v>
      </c>
      <c r="E526" s="150" t="s">
        <v>72</v>
      </c>
      <c r="F526" s="744" t="s">
        <v>100</v>
      </c>
      <c r="G526" s="745" t="s">
        <v>65</v>
      </c>
      <c r="H526" s="745" t="s">
        <v>57</v>
      </c>
      <c r="I526" s="746" t="s">
        <v>64</v>
      </c>
      <c r="J526" s="150"/>
      <c r="K526" s="698">
        <f>K527+K530+K533+K536</f>
        <v>60520</v>
      </c>
      <c r="L526" s="166">
        <f>L527+L530+L533+L536</f>
        <v>0</v>
      </c>
      <c r="M526" s="166">
        <f>M527+M530+M533+M536</f>
        <v>60520</v>
      </c>
      <c r="N526" s="166">
        <f>N527+N530+N533+N536</f>
        <v>61902.799999999996</v>
      </c>
    </row>
    <row r="527" spans="1:14" s="392" customFormat="1" ht="152.25" customHeight="1">
      <c r="A527" s="151"/>
      <c r="B527" s="432" t="s">
        <v>440</v>
      </c>
      <c r="C527" s="165" t="s">
        <v>338</v>
      </c>
      <c r="D527" s="150" t="s">
        <v>125</v>
      </c>
      <c r="E527" s="150" t="s">
        <v>72</v>
      </c>
      <c r="F527" s="744" t="s">
        <v>100</v>
      </c>
      <c r="G527" s="745" t="s">
        <v>65</v>
      </c>
      <c r="H527" s="745" t="s">
        <v>57</v>
      </c>
      <c r="I527" s="746" t="s">
        <v>341</v>
      </c>
      <c r="J527" s="150"/>
      <c r="K527" s="698">
        <f>SUM(K528:K529)</f>
        <v>34301.300000000003</v>
      </c>
      <c r="L527" s="166">
        <f>SUM(L528:L529)</f>
        <v>0</v>
      </c>
      <c r="M527" s="166">
        <f>SUM(M528:M529)</f>
        <v>34301.300000000003</v>
      </c>
      <c r="N527" s="166">
        <f>SUM(N528:N529)</f>
        <v>35673.9</v>
      </c>
    </row>
    <row r="528" spans="1:14" s="392" customFormat="1" ht="56.25">
      <c r="A528" s="151"/>
      <c r="B528" s="164" t="s">
        <v>75</v>
      </c>
      <c r="C528" s="165" t="s">
        <v>338</v>
      </c>
      <c r="D528" s="150" t="s">
        <v>125</v>
      </c>
      <c r="E528" s="150" t="s">
        <v>72</v>
      </c>
      <c r="F528" s="744" t="s">
        <v>100</v>
      </c>
      <c r="G528" s="745" t="s">
        <v>65</v>
      </c>
      <c r="H528" s="745" t="s">
        <v>57</v>
      </c>
      <c r="I528" s="746" t="s">
        <v>341</v>
      </c>
      <c r="J528" s="150" t="s">
        <v>76</v>
      </c>
      <c r="K528" s="698">
        <v>171.5</v>
      </c>
      <c r="L528" s="166">
        <f>M528-K528</f>
        <v>0</v>
      </c>
      <c r="M528" s="166">
        <v>171.5</v>
      </c>
      <c r="N528" s="166">
        <v>178.4</v>
      </c>
    </row>
    <row r="529" spans="1:14" s="392" customFormat="1" ht="37.5">
      <c r="A529" s="151"/>
      <c r="B529" s="164" t="s">
        <v>141</v>
      </c>
      <c r="C529" s="165" t="s">
        <v>338</v>
      </c>
      <c r="D529" s="150" t="s">
        <v>125</v>
      </c>
      <c r="E529" s="150" t="s">
        <v>72</v>
      </c>
      <c r="F529" s="744" t="s">
        <v>100</v>
      </c>
      <c r="G529" s="745" t="s">
        <v>65</v>
      </c>
      <c r="H529" s="745" t="s">
        <v>57</v>
      </c>
      <c r="I529" s="746" t="s">
        <v>341</v>
      </c>
      <c r="J529" s="150" t="s">
        <v>142</v>
      </c>
      <c r="K529" s="698">
        <v>34129.800000000003</v>
      </c>
      <c r="L529" s="166">
        <f>M529-K529</f>
        <v>0</v>
      </c>
      <c r="M529" s="166">
        <v>34129.800000000003</v>
      </c>
      <c r="N529" s="166">
        <v>35495.5</v>
      </c>
    </row>
    <row r="530" spans="1:14" s="392" customFormat="1" ht="93.75" customHeight="1">
      <c r="A530" s="151"/>
      <c r="B530" s="164" t="s">
        <v>441</v>
      </c>
      <c r="C530" s="165" t="s">
        <v>338</v>
      </c>
      <c r="D530" s="150" t="s">
        <v>125</v>
      </c>
      <c r="E530" s="150" t="s">
        <v>72</v>
      </c>
      <c r="F530" s="744" t="s">
        <v>100</v>
      </c>
      <c r="G530" s="745" t="s">
        <v>65</v>
      </c>
      <c r="H530" s="745" t="s">
        <v>57</v>
      </c>
      <c r="I530" s="746" t="s">
        <v>342</v>
      </c>
      <c r="J530" s="150"/>
      <c r="K530" s="698">
        <f>SUM(K531:K532)</f>
        <v>25619.1</v>
      </c>
      <c r="L530" s="166">
        <f>SUM(L531:L532)</f>
        <v>0</v>
      </c>
      <c r="M530" s="166">
        <f>SUM(M531:M532)</f>
        <v>25619.1</v>
      </c>
      <c r="N530" s="166">
        <f>SUM(N531:N532)</f>
        <v>25619.1</v>
      </c>
    </row>
    <row r="531" spans="1:14" s="392" customFormat="1" ht="56.25">
      <c r="A531" s="151"/>
      <c r="B531" s="164" t="s">
        <v>75</v>
      </c>
      <c r="C531" s="165" t="s">
        <v>338</v>
      </c>
      <c r="D531" s="150" t="s">
        <v>125</v>
      </c>
      <c r="E531" s="150" t="s">
        <v>72</v>
      </c>
      <c r="F531" s="744" t="s">
        <v>100</v>
      </c>
      <c r="G531" s="745" t="s">
        <v>65</v>
      </c>
      <c r="H531" s="745" t="s">
        <v>57</v>
      </c>
      <c r="I531" s="746" t="s">
        <v>342</v>
      </c>
      <c r="J531" s="150" t="s">
        <v>76</v>
      </c>
      <c r="K531" s="698">
        <v>128.1</v>
      </c>
      <c r="L531" s="166">
        <f>M531-K531</f>
        <v>0</v>
      </c>
      <c r="M531" s="166">
        <v>128.1</v>
      </c>
      <c r="N531" s="166">
        <v>128.1</v>
      </c>
    </row>
    <row r="532" spans="1:14" s="392" customFormat="1" ht="37.5">
      <c r="A532" s="151"/>
      <c r="B532" s="164" t="s">
        <v>141</v>
      </c>
      <c r="C532" s="165" t="s">
        <v>338</v>
      </c>
      <c r="D532" s="150" t="s">
        <v>125</v>
      </c>
      <c r="E532" s="150" t="s">
        <v>72</v>
      </c>
      <c r="F532" s="744" t="s">
        <v>100</v>
      </c>
      <c r="G532" s="745" t="s">
        <v>65</v>
      </c>
      <c r="H532" s="745" t="s">
        <v>57</v>
      </c>
      <c r="I532" s="746" t="s">
        <v>342</v>
      </c>
      <c r="J532" s="150" t="s">
        <v>142</v>
      </c>
      <c r="K532" s="698">
        <v>25491</v>
      </c>
      <c r="L532" s="166">
        <f>M532-K532</f>
        <v>0</v>
      </c>
      <c r="M532" s="166">
        <v>25491</v>
      </c>
      <c r="N532" s="166">
        <v>25491</v>
      </c>
    </row>
    <row r="533" spans="1:14" s="392" customFormat="1" ht="94.5" customHeight="1">
      <c r="A533" s="151"/>
      <c r="B533" s="164" t="s">
        <v>442</v>
      </c>
      <c r="C533" s="165" t="s">
        <v>338</v>
      </c>
      <c r="D533" s="150" t="s">
        <v>125</v>
      </c>
      <c r="E533" s="150" t="s">
        <v>72</v>
      </c>
      <c r="F533" s="744" t="s">
        <v>100</v>
      </c>
      <c r="G533" s="745" t="s">
        <v>65</v>
      </c>
      <c r="H533" s="745" t="s">
        <v>57</v>
      </c>
      <c r="I533" s="746" t="s">
        <v>343</v>
      </c>
      <c r="J533" s="150"/>
      <c r="K533" s="698">
        <f>SUM(K534:K535)</f>
        <v>252.9</v>
      </c>
      <c r="L533" s="166">
        <f>SUM(L534:L535)</f>
        <v>0</v>
      </c>
      <c r="M533" s="166">
        <f>SUM(M534:M535)</f>
        <v>252.9</v>
      </c>
      <c r="N533" s="166">
        <f>SUM(N534:N535)</f>
        <v>263.10000000000002</v>
      </c>
    </row>
    <row r="534" spans="1:14" s="392" customFormat="1" ht="56.25">
      <c r="A534" s="151"/>
      <c r="B534" s="164" t="s">
        <v>75</v>
      </c>
      <c r="C534" s="165" t="s">
        <v>338</v>
      </c>
      <c r="D534" s="150" t="s">
        <v>125</v>
      </c>
      <c r="E534" s="150" t="s">
        <v>72</v>
      </c>
      <c r="F534" s="744" t="s">
        <v>100</v>
      </c>
      <c r="G534" s="745" t="s">
        <v>65</v>
      </c>
      <c r="H534" s="745" t="s">
        <v>57</v>
      </c>
      <c r="I534" s="746" t="s">
        <v>343</v>
      </c>
      <c r="J534" s="150" t="s">
        <v>76</v>
      </c>
      <c r="K534" s="698">
        <v>1.2</v>
      </c>
      <c r="L534" s="166">
        <f>M534-K534</f>
        <v>0</v>
      </c>
      <c r="M534" s="166">
        <v>1.2</v>
      </c>
      <c r="N534" s="166">
        <v>1.3</v>
      </c>
    </row>
    <row r="535" spans="1:14" s="392" customFormat="1" ht="37.5">
      <c r="A535" s="151"/>
      <c r="B535" s="164" t="s">
        <v>141</v>
      </c>
      <c r="C535" s="165" t="s">
        <v>338</v>
      </c>
      <c r="D535" s="150" t="s">
        <v>125</v>
      </c>
      <c r="E535" s="150" t="s">
        <v>72</v>
      </c>
      <c r="F535" s="744" t="s">
        <v>100</v>
      </c>
      <c r="G535" s="745" t="s">
        <v>65</v>
      </c>
      <c r="H535" s="745" t="s">
        <v>57</v>
      </c>
      <c r="I535" s="746" t="s">
        <v>343</v>
      </c>
      <c r="J535" s="150" t="s">
        <v>142</v>
      </c>
      <c r="K535" s="698">
        <v>251.70000000000002</v>
      </c>
      <c r="L535" s="166">
        <f>M535-K535</f>
        <v>0</v>
      </c>
      <c r="M535" s="166">
        <v>251.70000000000002</v>
      </c>
      <c r="N535" s="166">
        <v>261.8</v>
      </c>
    </row>
    <row r="536" spans="1:14" s="392" customFormat="1" ht="116.25" customHeight="1">
      <c r="A536" s="151"/>
      <c r="B536" s="164" t="s">
        <v>448</v>
      </c>
      <c r="C536" s="165" t="s">
        <v>338</v>
      </c>
      <c r="D536" s="150" t="s">
        <v>125</v>
      </c>
      <c r="E536" s="150" t="s">
        <v>72</v>
      </c>
      <c r="F536" s="744" t="s">
        <v>100</v>
      </c>
      <c r="G536" s="745" t="s">
        <v>65</v>
      </c>
      <c r="H536" s="745" t="s">
        <v>57</v>
      </c>
      <c r="I536" s="746" t="s">
        <v>344</v>
      </c>
      <c r="J536" s="150"/>
      <c r="K536" s="698">
        <f>SUM(K537:K538)</f>
        <v>346.7</v>
      </c>
      <c r="L536" s="166">
        <f>SUM(L537:L538)</f>
        <v>0</v>
      </c>
      <c r="M536" s="166">
        <f>SUM(M537:M538)</f>
        <v>346.7</v>
      </c>
      <c r="N536" s="166">
        <f>SUM(N537:N538)</f>
        <v>346.7</v>
      </c>
    </row>
    <row r="537" spans="1:14" s="392" customFormat="1" ht="56.25">
      <c r="A537" s="151"/>
      <c r="B537" s="164" t="s">
        <v>75</v>
      </c>
      <c r="C537" s="165" t="s">
        <v>338</v>
      </c>
      <c r="D537" s="150" t="s">
        <v>125</v>
      </c>
      <c r="E537" s="150" t="s">
        <v>72</v>
      </c>
      <c r="F537" s="744" t="s">
        <v>100</v>
      </c>
      <c r="G537" s="745" t="s">
        <v>65</v>
      </c>
      <c r="H537" s="745" t="s">
        <v>57</v>
      </c>
      <c r="I537" s="746" t="s">
        <v>344</v>
      </c>
      <c r="J537" s="150" t="s">
        <v>76</v>
      </c>
      <c r="K537" s="698">
        <v>1.7</v>
      </c>
      <c r="L537" s="166">
        <f>M537-K537</f>
        <v>0</v>
      </c>
      <c r="M537" s="166">
        <v>1.7</v>
      </c>
      <c r="N537" s="166">
        <v>1.7</v>
      </c>
    </row>
    <row r="538" spans="1:14" s="392" customFormat="1" ht="37.5">
      <c r="A538" s="151"/>
      <c r="B538" s="164" t="s">
        <v>141</v>
      </c>
      <c r="C538" s="165" t="s">
        <v>338</v>
      </c>
      <c r="D538" s="150" t="s">
        <v>125</v>
      </c>
      <c r="E538" s="150" t="s">
        <v>72</v>
      </c>
      <c r="F538" s="744" t="s">
        <v>100</v>
      </c>
      <c r="G538" s="745" t="s">
        <v>65</v>
      </c>
      <c r="H538" s="745" t="s">
        <v>57</v>
      </c>
      <c r="I538" s="746" t="s">
        <v>344</v>
      </c>
      <c r="J538" s="150" t="s">
        <v>142</v>
      </c>
      <c r="K538" s="698">
        <v>345</v>
      </c>
      <c r="L538" s="166">
        <f>M538-K538</f>
        <v>0</v>
      </c>
      <c r="M538" s="166">
        <v>345</v>
      </c>
      <c r="N538" s="166">
        <v>345</v>
      </c>
    </row>
    <row r="539" spans="1:14" s="147" customFormat="1" ht="37.5">
      <c r="A539" s="151"/>
      <c r="B539" s="164" t="s">
        <v>345</v>
      </c>
      <c r="C539" s="165" t="s">
        <v>338</v>
      </c>
      <c r="D539" s="150" t="s">
        <v>125</v>
      </c>
      <c r="E539" s="150" t="s">
        <v>102</v>
      </c>
      <c r="F539" s="744"/>
      <c r="G539" s="745"/>
      <c r="H539" s="745"/>
      <c r="I539" s="746"/>
      <c r="J539" s="150"/>
      <c r="K539" s="698">
        <f t="shared" ref="K539:N541" si="91">K540</f>
        <v>7591.7</v>
      </c>
      <c r="L539" s="166">
        <f t="shared" si="91"/>
        <v>0</v>
      </c>
      <c r="M539" s="166">
        <f t="shared" si="91"/>
        <v>7591.7</v>
      </c>
      <c r="N539" s="166">
        <f t="shared" si="91"/>
        <v>7591.7</v>
      </c>
    </row>
    <row r="540" spans="1:14" s="147" customFormat="1" ht="56.25">
      <c r="A540" s="151"/>
      <c r="B540" s="168" t="s">
        <v>252</v>
      </c>
      <c r="C540" s="165" t="s">
        <v>338</v>
      </c>
      <c r="D540" s="150" t="s">
        <v>125</v>
      </c>
      <c r="E540" s="150" t="s">
        <v>102</v>
      </c>
      <c r="F540" s="744" t="s">
        <v>100</v>
      </c>
      <c r="G540" s="745" t="s">
        <v>62</v>
      </c>
      <c r="H540" s="745" t="s">
        <v>63</v>
      </c>
      <c r="I540" s="746" t="s">
        <v>64</v>
      </c>
      <c r="J540" s="150"/>
      <c r="K540" s="698">
        <f t="shared" si="91"/>
        <v>7591.7</v>
      </c>
      <c r="L540" s="166">
        <f t="shared" si="91"/>
        <v>0</v>
      </c>
      <c r="M540" s="166">
        <f t="shared" si="91"/>
        <v>7591.7</v>
      </c>
      <c r="N540" s="166">
        <f t="shared" si="91"/>
        <v>7591.7</v>
      </c>
    </row>
    <row r="541" spans="1:14" s="147" customFormat="1" ht="37.5">
      <c r="A541" s="151"/>
      <c r="B541" s="164" t="s">
        <v>404</v>
      </c>
      <c r="C541" s="165" t="s">
        <v>338</v>
      </c>
      <c r="D541" s="150" t="s">
        <v>125</v>
      </c>
      <c r="E541" s="150" t="s">
        <v>102</v>
      </c>
      <c r="F541" s="744" t="s">
        <v>100</v>
      </c>
      <c r="G541" s="745" t="s">
        <v>65</v>
      </c>
      <c r="H541" s="745" t="s">
        <v>63</v>
      </c>
      <c r="I541" s="746" t="s">
        <v>64</v>
      </c>
      <c r="J541" s="150"/>
      <c r="K541" s="698">
        <f t="shared" si="91"/>
        <v>7591.7</v>
      </c>
      <c r="L541" s="166">
        <f t="shared" si="91"/>
        <v>0</v>
      </c>
      <c r="M541" s="166">
        <f t="shared" si="91"/>
        <v>7591.7</v>
      </c>
      <c r="N541" s="166">
        <f t="shared" si="91"/>
        <v>7591.7</v>
      </c>
    </row>
    <row r="542" spans="1:14" s="392" customFormat="1" ht="37.5">
      <c r="A542" s="151"/>
      <c r="B542" s="164" t="s">
        <v>251</v>
      </c>
      <c r="C542" s="165" t="s">
        <v>338</v>
      </c>
      <c r="D542" s="150" t="s">
        <v>125</v>
      </c>
      <c r="E542" s="150" t="s">
        <v>102</v>
      </c>
      <c r="F542" s="744" t="s">
        <v>100</v>
      </c>
      <c r="G542" s="745" t="s">
        <v>65</v>
      </c>
      <c r="H542" s="745" t="s">
        <v>84</v>
      </c>
      <c r="I542" s="746" t="s">
        <v>64</v>
      </c>
      <c r="J542" s="150"/>
      <c r="K542" s="698">
        <f>K543+K546+K549</f>
        <v>7591.7</v>
      </c>
      <c r="L542" s="166">
        <f>L543+L546+L549</f>
        <v>0</v>
      </c>
      <c r="M542" s="166">
        <f>M543+M546+M549</f>
        <v>7591.7</v>
      </c>
      <c r="N542" s="166">
        <f>N543+N546+N549</f>
        <v>7591.7</v>
      </c>
    </row>
    <row r="543" spans="1:14" s="392" customFormat="1" ht="75.75" customHeight="1">
      <c r="A543" s="151"/>
      <c r="B543" s="164" t="s">
        <v>253</v>
      </c>
      <c r="C543" s="165" t="s">
        <v>338</v>
      </c>
      <c r="D543" s="150" t="s">
        <v>125</v>
      </c>
      <c r="E543" s="150" t="s">
        <v>102</v>
      </c>
      <c r="F543" s="744" t="s">
        <v>100</v>
      </c>
      <c r="G543" s="745" t="s">
        <v>65</v>
      </c>
      <c r="H543" s="745" t="s">
        <v>84</v>
      </c>
      <c r="I543" s="746" t="s">
        <v>346</v>
      </c>
      <c r="J543" s="150"/>
      <c r="K543" s="698">
        <f>K544+K545</f>
        <v>6084</v>
      </c>
      <c r="L543" s="166">
        <f>L544+L545</f>
        <v>0</v>
      </c>
      <c r="M543" s="166">
        <f>M544+M545</f>
        <v>6084</v>
      </c>
      <c r="N543" s="166">
        <f>N544+N545</f>
        <v>6084</v>
      </c>
    </row>
    <row r="544" spans="1:14" s="392" customFormat="1" ht="112.5">
      <c r="A544" s="151"/>
      <c r="B544" s="164" t="s">
        <v>69</v>
      </c>
      <c r="C544" s="165" t="s">
        <v>338</v>
      </c>
      <c r="D544" s="150" t="s">
        <v>125</v>
      </c>
      <c r="E544" s="150" t="s">
        <v>102</v>
      </c>
      <c r="F544" s="744" t="s">
        <v>100</v>
      </c>
      <c r="G544" s="745" t="s">
        <v>65</v>
      </c>
      <c r="H544" s="745" t="s">
        <v>84</v>
      </c>
      <c r="I544" s="746" t="s">
        <v>346</v>
      </c>
      <c r="J544" s="150" t="s">
        <v>70</v>
      </c>
      <c r="K544" s="698">
        <v>5725.5</v>
      </c>
      <c r="L544" s="166">
        <f>M544-K544</f>
        <v>0</v>
      </c>
      <c r="M544" s="166">
        <v>5725.5</v>
      </c>
      <c r="N544" s="166">
        <v>5725.5</v>
      </c>
    </row>
    <row r="545" spans="1:14" s="392" customFormat="1" ht="56.25">
      <c r="A545" s="151"/>
      <c r="B545" s="164" t="s">
        <v>75</v>
      </c>
      <c r="C545" s="165" t="s">
        <v>338</v>
      </c>
      <c r="D545" s="150" t="s">
        <v>125</v>
      </c>
      <c r="E545" s="150" t="s">
        <v>102</v>
      </c>
      <c r="F545" s="365" t="s">
        <v>100</v>
      </c>
      <c r="G545" s="366" t="s">
        <v>65</v>
      </c>
      <c r="H545" s="366" t="s">
        <v>84</v>
      </c>
      <c r="I545" s="367" t="s">
        <v>346</v>
      </c>
      <c r="J545" s="150" t="s">
        <v>76</v>
      </c>
      <c r="K545" s="698">
        <v>358.5</v>
      </c>
      <c r="L545" s="166">
        <f>M545-K545</f>
        <v>0</v>
      </c>
      <c r="M545" s="166">
        <v>358.5</v>
      </c>
      <c r="N545" s="166">
        <v>358.5</v>
      </c>
    </row>
    <row r="546" spans="1:14" s="392" customFormat="1" ht="110.25" customHeight="1">
      <c r="A546" s="151"/>
      <c r="B546" s="164" t="s">
        <v>794</v>
      </c>
      <c r="C546" s="165" t="s">
        <v>338</v>
      </c>
      <c r="D546" s="150" t="s">
        <v>125</v>
      </c>
      <c r="E546" s="150" t="s">
        <v>102</v>
      </c>
      <c r="F546" s="744" t="s">
        <v>100</v>
      </c>
      <c r="G546" s="745" t="s">
        <v>65</v>
      </c>
      <c r="H546" s="745" t="s">
        <v>84</v>
      </c>
      <c r="I546" s="746" t="s">
        <v>347</v>
      </c>
      <c r="J546" s="150"/>
      <c r="K546" s="698">
        <f>K547+K548</f>
        <v>636.69999999999993</v>
      </c>
      <c r="L546" s="166">
        <f>L547+L548</f>
        <v>0</v>
      </c>
      <c r="M546" s="166">
        <f>M547+M548</f>
        <v>636.69999999999993</v>
      </c>
      <c r="N546" s="166">
        <f>N547+N548</f>
        <v>636.69999999999993</v>
      </c>
    </row>
    <row r="547" spans="1:14" s="392" customFormat="1" ht="112.5">
      <c r="A547" s="151"/>
      <c r="B547" s="164" t="s">
        <v>69</v>
      </c>
      <c r="C547" s="165" t="s">
        <v>338</v>
      </c>
      <c r="D547" s="150" t="s">
        <v>125</v>
      </c>
      <c r="E547" s="150" t="s">
        <v>102</v>
      </c>
      <c r="F547" s="744" t="s">
        <v>100</v>
      </c>
      <c r="G547" s="745" t="s">
        <v>65</v>
      </c>
      <c r="H547" s="745" t="s">
        <v>84</v>
      </c>
      <c r="I547" s="746" t="s">
        <v>347</v>
      </c>
      <c r="J547" s="150" t="s">
        <v>70</v>
      </c>
      <c r="K547" s="698">
        <v>607.29999999999995</v>
      </c>
      <c r="L547" s="166">
        <f>M547-K547</f>
        <v>0</v>
      </c>
      <c r="M547" s="166">
        <v>607.29999999999995</v>
      </c>
      <c r="N547" s="166">
        <v>607.29999999999995</v>
      </c>
    </row>
    <row r="548" spans="1:14" s="392" customFormat="1" ht="56.25">
      <c r="A548" s="151"/>
      <c r="B548" s="164" t="s">
        <v>75</v>
      </c>
      <c r="C548" s="165" t="s">
        <v>338</v>
      </c>
      <c r="D548" s="150" t="s">
        <v>125</v>
      </c>
      <c r="E548" s="150" t="s">
        <v>102</v>
      </c>
      <c r="F548" s="744" t="s">
        <v>100</v>
      </c>
      <c r="G548" s="745" t="s">
        <v>65</v>
      </c>
      <c r="H548" s="745" t="s">
        <v>84</v>
      </c>
      <c r="I548" s="746" t="s">
        <v>347</v>
      </c>
      <c r="J548" s="150" t="s">
        <v>76</v>
      </c>
      <c r="K548" s="698">
        <v>29.4</v>
      </c>
      <c r="L548" s="166">
        <f>M548-K548</f>
        <v>0</v>
      </c>
      <c r="M548" s="166">
        <v>29.4</v>
      </c>
      <c r="N548" s="166">
        <v>29.4</v>
      </c>
    </row>
    <row r="549" spans="1:14" s="392" customFormat="1" ht="261.75" customHeight="1">
      <c r="A549" s="151"/>
      <c r="B549" s="312" t="s">
        <v>254</v>
      </c>
      <c r="C549" s="165" t="s">
        <v>338</v>
      </c>
      <c r="D549" s="150" t="s">
        <v>125</v>
      </c>
      <c r="E549" s="150" t="s">
        <v>102</v>
      </c>
      <c r="F549" s="744" t="s">
        <v>100</v>
      </c>
      <c r="G549" s="745" t="s">
        <v>65</v>
      </c>
      <c r="H549" s="745" t="s">
        <v>84</v>
      </c>
      <c r="I549" s="746" t="s">
        <v>348</v>
      </c>
      <c r="J549" s="150"/>
      <c r="K549" s="698">
        <f>K550+K551</f>
        <v>871</v>
      </c>
      <c r="L549" s="166">
        <f>L550+L551</f>
        <v>0</v>
      </c>
      <c r="M549" s="166">
        <f>M550+M551</f>
        <v>871</v>
      </c>
      <c r="N549" s="166">
        <f>N550+N551</f>
        <v>871</v>
      </c>
    </row>
    <row r="550" spans="1:14" s="392" customFormat="1" ht="112.5">
      <c r="A550" s="151"/>
      <c r="B550" s="164" t="s">
        <v>69</v>
      </c>
      <c r="C550" s="165" t="s">
        <v>338</v>
      </c>
      <c r="D550" s="150" t="s">
        <v>125</v>
      </c>
      <c r="E550" s="150" t="s">
        <v>102</v>
      </c>
      <c r="F550" s="744" t="s">
        <v>100</v>
      </c>
      <c r="G550" s="745" t="s">
        <v>65</v>
      </c>
      <c r="H550" s="745" t="s">
        <v>84</v>
      </c>
      <c r="I550" s="746" t="s">
        <v>348</v>
      </c>
      <c r="J550" s="150" t="s">
        <v>70</v>
      </c>
      <c r="K550" s="698">
        <v>808.2</v>
      </c>
      <c r="L550" s="166">
        <f>M550-K550</f>
        <v>0</v>
      </c>
      <c r="M550" s="166">
        <v>808.2</v>
      </c>
      <c r="N550" s="166">
        <v>808.2</v>
      </c>
    </row>
    <row r="551" spans="1:14" s="392" customFormat="1" ht="56.25">
      <c r="A551" s="151"/>
      <c r="B551" s="164" t="s">
        <v>75</v>
      </c>
      <c r="C551" s="165" t="s">
        <v>338</v>
      </c>
      <c r="D551" s="150" t="s">
        <v>125</v>
      </c>
      <c r="E551" s="150" t="s">
        <v>102</v>
      </c>
      <c r="F551" s="744" t="s">
        <v>100</v>
      </c>
      <c r="G551" s="745" t="s">
        <v>65</v>
      </c>
      <c r="H551" s="745" t="s">
        <v>84</v>
      </c>
      <c r="I551" s="746" t="s">
        <v>348</v>
      </c>
      <c r="J551" s="150" t="s">
        <v>76</v>
      </c>
      <c r="K551" s="698">
        <v>62.8</v>
      </c>
      <c r="L551" s="166">
        <f>M551-K551</f>
        <v>0</v>
      </c>
      <c r="M551" s="166">
        <v>62.8</v>
      </c>
      <c r="N551" s="166">
        <v>62.8</v>
      </c>
    </row>
    <row r="552" spans="1:14" s="392" customFormat="1" ht="18.75">
      <c r="A552" s="391">
        <v>10</v>
      </c>
      <c r="B552" s="443" t="s">
        <v>445</v>
      </c>
      <c r="C552" s="165"/>
      <c r="D552" s="150"/>
      <c r="E552" s="150"/>
      <c r="F552" s="745"/>
      <c r="G552" s="745"/>
      <c r="H552" s="745"/>
      <c r="I552" s="746"/>
      <c r="J552" s="150"/>
      <c r="K552" s="697">
        <f>K553</f>
        <v>30290.2</v>
      </c>
      <c r="L552" s="189">
        <f>L553</f>
        <v>0</v>
      </c>
      <c r="M552" s="189">
        <f>M553</f>
        <v>30290.2</v>
      </c>
      <c r="N552" s="189">
        <f>N553</f>
        <v>60960.7</v>
      </c>
    </row>
    <row r="553" spans="1:14" s="392" customFormat="1" ht="18.75">
      <c r="A553" s="151"/>
      <c r="B553" s="317" t="s">
        <v>445</v>
      </c>
      <c r="C553" s="165"/>
      <c r="D553" s="150"/>
      <c r="E553" s="150"/>
      <c r="F553" s="745"/>
      <c r="G553" s="745"/>
      <c r="H553" s="745"/>
      <c r="I553" s="746"/>
      <c r="J553" s="150"/>
      <c r="K553" s="698">
        <v>30290.2</v>
      </c>
      <c r="L553" s="166">
        <f>M553-K553</f>
        <v>0</v>
      </c>
      <c r="M553" s="166">
        <v>30290.2</v>
      </c>
      <c r="N553" s="166">
        <v>60960.7</v>
      </c>
    </row>
    <row r="554" spans="1:14">
      <c r="M554" s="183"/>
      <c r="N554" s="183"/>
    </row>
    <row r="555" spans="1:14">
      <c r="M555" s="183"/>
      <c r="N555" s="183"/>
    </row>
    <row r="556" spans="1:14" s="280" customFormat="1" ht="18.75">
      <c r="A556" s="375" t="s">
        <v>467</v>
      </c>
      <c r="B556" s="283"/>
      <c r="C556" s="284"/>
      <c r="D556" s="284"/>
      <c r="E556" s="284"/>
      <c r="F556" s="207"/>
      <c r="G556" s="374"/>
      <c r="H556" s="435"/>
    </row>
    <row r="557" spans="1:14" s="280" customFormat="1" ht="18.75">
      <c r="A557" s="375" t="s">
        <v>468</v>
      </c>
      <c r="B557" s="283"/>
      <c r="C557" s="284"/>
      <c r="D557" s="284"/>
      <c r="E557" s="284"/>
      <c r="F557" s="207"/>
      <c r="G557" s="374"/>
      <c r="H557" s="435"/>
    </row>
    <row r="558" spans="1:14" s="280" customFormat="1" ht="18.75">
      <c r="A558" s="376" t="s">
        <v>469</v>
      </c>
      <c r="B558" s="283"/>
      <c r="D558" s="284"/>
      <c r="E558" s="284"/>
      <c r="F558" s="207"/>
      <c r="N558" s="377" t="s">
        <v>494</v>
      </c>
    </row>
    <row r="560" spans="1:14" s="436" customFormat="1" ht="15.75">
      <c r="B560" s="436" t="s">
        <v>446</v>
      </c>
      <c r="M560" s="437" t="e">
        <f>M553/('прил13(ведом 22-23)'!#REF!-('прил.5 (пост.безв.22-23)'!C13-'прил.5 (пост.безв.22-23)'!C17))*100</f>
        <v>#REF!</v>
      </c>
      <c r="N560" s="437" t="e">
        <f>N553/('прил13(ведом 22-23)'!#REF!-('прил.5 (пост.безв.22-23)'!D13-'прил.5 (пост.безв.22-23)'!D17))*100</f>
        <v>#REF!</v>
      </c>
    </row>
    <row r="562" spans="4:14" ht="18.75">
      <c r="D562" s="181" t="s">
        <v>57</v>
      </c>
      <c r="E562" s="181" t="s">
        <v>59</v>
      </c>
      <c r="F562" s="182"/>
      <c r="G562" s="182"/>
      <c r="H562" s="182"/>
      <c r="I562" s="182"/>
      <c r="J562" s="182"/>
      <c r="K562" s="182"/>
      <c r="L562" s="182"/>
      <c r="M562" s="438">
        <f>M19</f>
        <v>2128.5</v>
      </c>
      <c r="N562" s="438">
        <f>N19</f>
        <v>2128.5</v>
      </c>
    </row>
    <row r="563" spans="4:14" ht="18.75">
      <c r="D563" s="181" t="s">
        <v>57</v>
      </c>
      <c r="E563" s="181" t="s">
        <v>72</v>
      </c>
      <c r="F563" s="182"/>
      <c r="G563" s="182"/>
      <c r="H563" s="182"/>
      <c r="I563" s="182"/>
      <c r="J563" s="182"/>
      <c r="K563" s="182"/>
      <c r="L563" s="182"/>
      <c r="M563" s="438">
        <f>M25</f>
        <v>72075.899999999994</v>
      </c>
      <c r="N563" s="438">
        <f>N25</f>
        <v>72150.2</v>
      </c>
    </row>
    <row r="564" spans="4:14" ht="18.75">
      <c r="D564" s="181" t="s">
        <v>57</v>
      </c>
      <c r="E564" s="181" t="s">
        <v>86</v>
      </c>
      <c r="F564" s="182"/>
      <c r="G564" s="182"/>
      <c r="H564" s="182"/>
      <c r="I564" s="182"/>
      <c r="J564" s="182"/>
      <c r="K564" s="182"/>
      <c r="L564" s="182"/>
      <c r="M564" s="438">
        <f>M48</f>
        <v>98.4</v>
      </c>
      <c r="N564" s="438">
        <f>N48</f>
        <v>5.7</v>
      </c>
    </row>
    <row r="565" spans="4:14" ht="18.75">
      <c r="D565" s="181" t="s">
        <v>57</v>
      </c>
      <c r="E565" s="181" t="s">
        <v>102</v>
      </c>
      <c r="F565" s="182"/>
      <c r="G565" s="182"/>
      <c r="H565" s="182"/>
      <c r="I565" s="182"/>
      <c r="J565" s="182"/>
      <c r="K565" s="182"/>
      <c r="L565" s="182"/>
      <c r="M565" s="438">
        <f>M179+M206</f>
        <v>29332.200000000004</v>
      </c>
      <c r="N565" s="438">
        <f>N179+N206</f>
        <v>29333</v>
      </c>
    </row>
    <row r="566" spans="4:14" ht="18.75">
      <c r="D566" s="181" t="s">
        <v>57</v>
      </c>
      <c r="E566" s="181" t="s">
        <v>88</v>
      </c>
      <c r="F566" s="182"/>
      <c r="G566" s="182"/>
      <c r="H566" s="182"/>
      <c r="I566" s="182"/>
      <c r="J566" s="182"/>
      <c r="K566" s="182"/>
      <c r="L566" s="182"/>
      <c r="M566" s="438">
        <f>M54</f>
        <v>5000</v>
      </c>
      <c r="N566" s="438">
        <f>N54</f>
        <v>5000</v>
      </c>
    </row>
    <row r="567" spans="4:14" ht="18.75">
      <c r="D567" s="181" t="s">
        <v>57</v>
      </c>
      <c r="E567" s="181" t="s">
        <v>92</v>
      </c>
      <c r="F567" s="182"/>
      <c r="G567" s="182"/>
      <c r="H567" s="182"/>
      <c r="I567" s="182"/>
      <c r="J567" s="182"/>
      <c r="K567" s="182"/>
      <c r="L567" s="182"/>
      <c r="M567" s="438">
        <f>M216+M187+M484+M59+M389+M444+M268</f>
        <v>40189.900000000009</v>
      </c>
      <c r="N567" s="438">
        <f>N216+N187+N484+N59+N389+N444+N268</f>
        <v>32197.200000000004</v>
      </c>
    </row>
    <row r="568" spans="4:14" ht="18.75">
      <c r="D568" s="439" t="s">
        <v>57</v>
      </c>
      <c r="E568" s="439" t="s">
        <v>63</v>
      </c>
      <c r="F568" s="182"/>
      <c r="G568" s="182"/>
      <c r="H568" s="182"/>
      <c r="I568" s="182"/>
      <c r="J568" s="182"/>
      <c r="K568" s="182"/>
      <c r="L568" s="182"/>
      <c r="M568" s="440">
        <f>SUBTOTAL(9,M562:M567)</f>
        <v>148824.90000000002</v>
      </c>
      <c r="N568" s="440">
        <f>SUBTOTAL(9,N562:N567)</f>
        <v>140814.6</v>
      </c>
    </row>
    <row r="569" spans="4:14" ht="18.75">
      <c r="D569" s="181"/>
      <c r="E569" s="181"/>
      <c r="F569" s="182"/>
      <c r="G569" s="182"/>
      <c r="H569" s="182"/>
      <c r="I569" s="182"/>
      <c r="J569" s="182"/>
      <c r="K569" s="182"/>
      <c r="L569" s="182"/>
      <c r="M569" s="438"/>
      <c r="N569" s="438"/>
    </row>
    <row r="570" spans="4:14" ht="18.75">
      <c r="D570" s="181" t="s">
        <v>84</v>
      </c>
      <c r="E570" s="181" t="s">
        <v>100</v>
      </c>
      <c r="F570" s="182"/>
      <c r="G570" s="182"/>
      <c r="H570" s="182"/>
      <c r="I570" s="182"/>
      <c r="J570" s="182"/>
      <c r="K570" s="182"/>
      <c r="L570" s="182"/>
      <c r="M570" s="438">
        <f>M83</f>
        <v>3437.6000000000004</v>
      </c>
      <c r="N570" s="438">
        <f>N83</f>
        <v>3437.6000000000004</v>
      </c>
    </row>
    <row r="571" spans="4:14" ht="18.75">
      <c r="D571" s="181" t="s">
        <v>84</v>
      </c>
      <c r="E571" s="181" t="s">
        <v>109</v>
      </c>
      <c r="F571" s="182"/>
      <c r="G571" s="182"/>
      <c r="H571" s="182"/>
      <c r="I571" s="182"/>
      <c r="J571" s="182"/>
      <c r="K571" s="182"/>
      <c r="L571" s="182"/>
      <c r="M571" s="438">
        <f>M93</f>
        <v>9110.4</v>
      </c>
      <c r="N571" s="438">
        <f>N93</f>
        <v>9110.7999999999993</v>
      </c>
    </row>
    <row r="572" spans="4:14" ht="18.75">
      <c r="D572" s="439" t="s">
        <v>84</v>
      </c>
      <c r="E572" s="439" t="s">
        <v>63</v>
      </c>
      <c r="F572" s="182"/>
      <c r="G572" s="182"/>
      <c r="H572" s="182"/>
      <c r="I572" s="182"/>
      <c r="J572" s="182"/>
      <c r="K572" s="182"/>
      <c r="L572" s="182"/>
      <c r="M572" s="440">
        <f>SUBTOTAL(9,M570:M571)</f>
        <v>12548</v>
      </c>
      <c r="N572" s="440">
        <f>SUBTOTAL(9,N570:N571)</f>
        <v>12548.4</v>
      </c>
    </row>
    <row r="573" spans="4:14" ht="18.75">
      <c r="D573" s="181"/>
      <c r="E573" s="181"/>
      <c r="F573" s="182"/>
      <c r="G573" s="182"/>
      <c r="H573" s="182"/>
      <c r="I573" s="182"/>
      <c r="J573" s="182"/>
      <c r="K573" s="182"/>
      <c r="L573" s="182"/>
      <c r="M573" s="438"/>
      <c r="N573" s="438"/>
    </row>
    <row r="574" spans="4:14" ht="18.75">
      <c r="D574" s="181" t="s">
        <v>72</v>
      </c>
      <c r="E574" s="181" t="s">
        <v>86</v>
      </c>
      <c r="F574" s="182"/>
      <c r="G574" s="182"/>
      <c r="H574" s="182"/>
      <c r="I574" s="182"/>
      <c r="J574" s="182"/>
      <c r="K574" s="182"/>
      <c r="L574" s="182"/>
      <c r="M574" s="438">
        <f>M109</f>
        <v>11258.5</v>
      </c>
      <c r="N574" s="438">
        <f>N109</f>
        <v>11258.5</v>
      </c>
    </row>
    <row r="575" spans="4:14" ht="18.75">
      <c r="D575" s="181" t="s">
        <v>72</v>
      </c>
      <c r="E575" s="181" t="s">
        <v>100</v>
      </c>
      <c r="F575" s="182"/>
      <c r="G575" s="182"/>
      <c r="H575" s="182"/>
      <c r="I575" s="182"/>
      <c r="J575" s="182"/>
      <c r="K575" s="182"/>
      <c r="L575" s="182"/>
      <c r="M575" s="438">
        <f>M118</f>
        <v>5907.9</v>
      </c>
      <c r="N575" s="438">
        <f>N118</f>
        <v>6835.1</v>
      </c>
    </row>
    <row r="576" spans="4:14" ht="18.75">
      <c r="D576" s="181" t="s">
        <v>72</v>
      </c>
      <c r="E576" s="181" t="s">
        <v>121</v>
      </c>
      <c r="F576" s="182"/>
      <c r="G576" s="182"/>
      <c r="H576" s="182"/>
      <c r="I576" s="182"/>
      <c r="J576" s="182"/>
      <c r="K576" s="182"/>
      <c r="L576" s="182"/>
      <c r="M576" s="438">
        <f>M124</f>
        <v>6650.5</v>
      </c>
      <c r="N576" s="438">
        <f>N124</f>
        <v>6650.5</v>
      </c>
    </row>
    <row r="577" spans="4:14" ht="18.75">
      <c r="D577" s="439" t="s">
        <v>72</v>
      </c>
      <c r="E577" s="439" t="s">
        <v>63</v>
      </c>
      <c r="F577" s="182"/>
      <c r="G577" s="182"/>
      <c r="H577" s="182"/>
      <c r="I577" s="182"/>
      <c r="J577" s="182"/>
      <c r="K577" s="182"/>
      <c r="L577" s="182"/>
      <c r="M577" s="440">
        <f>SUBTOTAL(9,M574:M576)</f>
        <v>23816.9</v>
      </c>
      <c r="N577" s="440">
        <f>SUBTOTAL(9,N574:N576)</f>
        <v>24744.1</v>
      </c>
    </row>
    <row r="578" spans="4:14" ht="18.75">
      <c r="D578" s="181"/>
      <c r="E578" s="181"/>
      <c r="F578" s="182"/>
      <c r="G578" s="182"/>
      <c r="H578" s="182"/>
      <c r="I578" s="182"/>
      <c r="J578" s="182"/>
      <c r="K578" s="182"/>
      <c r="L578" s="182"/>
      <c r="M578" s="438"/>
      <c r="N578" s="438"/>
    </row>
    <row r="579" spans="4:14" ht="18.75">
      <c r="D579" s="181" t="s">
        <v>86</v>
      </c>
      <c r="E579" s="181" t="s">
        <v>57</v>
      </c>
      <c r="F579" s="182"/>
      <c r="G579" s="182"/>
      <c r="H579" s="182"/>
      <c r="I579" s="182"/>
      <c r="J579" s="182"/>
      <c r="K579" s="182"/>
      <c r="L579" s="182"/>
      <c r="M579" s="438">
        <f>M148</f>
        <v>0</v>
      </c>
      <c r="N579" s="438">
        <f>N148</f>
        <v>25766.9</v>
      </c>
    </row>
    <row r="580" spans="4:14" ht="18.75">
      <c r="D580" s="181" t="s">
        <v>86</v>
      </c>
      <c r="E580" s="181" t="s">
        <v>59</v>
      </c>
      <c r="F580" s="182"/>
      <c r="G580" s="182"/>
      <c r="H580" s="182"/>
      <c r="I580" s="182"/>
      <c r="J580" s="182"/>
      <c r="K580" s="182"/>
      <c r="L580" s="182"/>
      <c r="M580" s="438">
        <f>M250</f>
        <v>12354.9</v>
      </c>
      <c r="N580" s="438">
        <f>N250</f>
        <v>0</v>
      </c>
    </row>
    <row r="581" spans="4:14" ht="18.75">
      <c r="D581" s="181" t="s">
        <v>86</v>
      </c>
      <c r="E581" s="181" t="s">
        <v>86</v>
      </c>
      <c r="F581" s="182"/>
      <c r="G581" s="182"/>
      <c r="H581" s="182"/>
      <c r="I581" s="182"/>
      <c r="J581" s="182"/>
      <c r="K581" s="182"/>
      <c r="L581" s="182"/>
      <c r="M581" s="438"/>
      <c r="N581" s="438"/>
    </row>
    <row r="582" spans="4:14" ht="18.75">
      <c r="D582" s="439" t="s">
        <v>86</v>
      </c>
      <c r="E582" s="439" t="s">
        <v>63</v>
      </c>
      <c r="F582" s="182"/>
      <c r="G582" s="182"/>
      <c r="H582" s="182"/>
      <c r="I582" s="182"/>
      <c r="J582" s="182"/>
      <c r="K582" s="182"/>
      <c r="L582" s="182"/>
      <c r="M582" s="440">
        <f>SUBTOTAL(9,M579:M581)</f>
        <v>12354.9</v>
      </c>
      <c r="N582" s="440">
        <f>SUBTOTAL(9,N579:N581)</f>
        <v>25766.9</v>
      </c>
    </row>
    <row r="583" spans="4:14" ht="18.75">
      <c r="D583" s="181"/>
      <c r="E583" s="181"/>
      <c r="F583" s="182"/>
      <c r="G583" s="182"/>
      <c r="H583" s="182"/>
      <c r="I583" s="182"/>
      <c r="J583" s="182"/>
      <c r="K583" s="182"/>
      <c r="L583" s="182"/>
      <c r="M583" s="438"/>
      <c r="N583" s="438"/>
    </row>
    <row r="584" spans="4:14" ht="18.75">
      <c r="D584" s="181" t="s">
        <v>246</v>
      </c>
      <c r="E584" s="181" t="s">
        <v>57</v>
      </c>
      <c r="F584" s="182"/>
      <c r="G584" s="182"/>
      <c r="H584" s="182"/>
      <c r="I584" s="182"/>
      <c r="J584" s="182"/>
      <c r="K584" s="182"/>
      <c r="L584" s="182"/>
      <c r="M584" s="438">
        <f>M281</f>
        <v>311662.7</v>
      </c>
      <c r="N584" s="438">
        <f>N281</f>
        <v>310578.99999999994</v>
      </c>
    </row>
    <row r="585" spans="4:14" ht="18.75">
      <c r="D585" s="181" t="s">
        <v>246</v>
      </c>
      <c r="E585" s="181" t="s">
        <v>59</v>
      </c>
      <c r="F585" s="182"/>
      <c r="G585" s="182"/>
      <c r="H585" s="182"/>
      <c r="I585" s="182"/>
      <c r="J585" s="182"/>
      <c r="K585" s="182"/>
      <c r="L585" s="182"/>
      <c r="M585" s="438">
        <f>M296</f>
        <v>577408.29999999993</v>
      </c>
      <c r="N585" s="438">
        <f>N296</f>
        <v>563979.39999999991</v>
      </c>
    </row>
    <row r="586" spans="4:14" ht="18.75">
      <c r="D586" s="181" t="s">
        <v>246</v>
      </c>
      <c r="E586" s="181" t="s">
        <v>84</v>
      </c>
      <c r="F586" s="182"/>
      <c r="G586" s="182"/>
      <c r="H586" s="182"/>
      <c r="I586" s="182"/>
      <c r="J586" s="182"/>
      <c r="K586" s="182"/>
      <c r="L586" s="182"/>
      <c r="M586" s="438">
        <f>+M336+M395</f>
        <v>113704.3</v>
      </c>
      <c r="N586" s="438">
        <f>+N336+N395</f>
        <v>114364.6</v>
      </c>
    </row>
    <row r="587" spans="4:14" ht="18.75">
      <c r="D587" s="181" t="s">
        <v>246</v>
      </c>
      <c r="E587" s="181" t="s">
        <v>86</v>
      </c>
      <c r="F587" s="182"/>
      <c r="G587" s="182"/>
      <c r="H587" s="182"/>
      <c r="I587" s="182"/>
      <c r="J587" s="182"/>
      <c r="K587" s="182"/>
      <c r="L587" s="182"/>
      <c r="M587" s="438"/>
      <c r="N587" s="438"/>
    </row>
    <row r="588" spans="4:14" ht="18.75">
      <c r="D588" s="181" t="s">
        <v>246</v>
      </c>
      <c r="E588" s="181" t="s">
        <v>246</v>
      </c>
      <c r="F588" s="182"/>
      <c r="G588" s="182"/>
      <c r="H588" s="182"/>
      <c r="I588" s="182"/>
      <c r="J588" s="182"/>
      <c r="K588" s="182"/>
      <c r="L588" s="182"/>
      <c r="M588" s="438">
        <f>M497+M516+M356+M403</f>
        <v>10086.099999999999</v>
      </c>
      <c r="N588" s="438">
        <f>N497+N516+N356+N403</f>
        <v>10086.099999999999</v>
      </c>
    </row>
    <row r="589" spans="4:14" ht="18.75">
      <c r="D589" s="181" t="s">
        <v>246</v>
      </c>
      <c r="E589" s="181" t="s">
        <v>100</v>
      </c>
      <c r="F589" s="182"/>
      <c r="G589" s="182"/>
      <c r="H589" s="182"/>
      <c r="I589" s="182"/>
      <c r="J589" s="182"/>
      <c r="K589" s="182"/>
      <c r="L589" s="182"/>
      <c r="M589" s="438">
        <f>M362+M505</f>
        <v>65031.5</v>
      </c>
      <c r="N589" s="438">
        <f>N362+N505</f>
        <v>65070.8</v>
      </c>
    </row>
    <row r="590" spans="4:14" ht="18.75">
      <c r="D590" s="439" t="s">
        <v>246</v>
      </c>
      <c r="E590" s="439" t="s">
        <v>63</v>
      </c>
      <c r="F590" s="182"/>
      <c r="G590" s="182"/>
      <c r="H590" s="182"/>
      <c r="I590" s="182"/>
      <c r="J590" s="182"/>
      <c r="K590" s="182"/>
      <c r="L590" s="182"/>
      <c r="M590" s="440">
        <f>SUBTOTAL(9,M584:M589)</f>
        <v>1077892.8999999999</v>
      </c>
      <c r="N590" s="440">
        <f>SUBTOTAL(9,N584:N589)</f>
        <v>1064079.8999999999</v>
      </c>
    </row>
    <row r="591" spans="4:14" ht="18.75">
      <c r="D591" s="181"/>
      <c r="E591" s="181"/>
      <c r="F591" s="182"/>
      <c r="G591" s="182"/>
      <c r="H591" s="182"/>
      <c r="I591" s="182"/>
      <c r="J591" s="182"/>
      <c r="K591" s="182"/>
      <c r="L591" s="182"/>
      <c r="M591" s="438"/>
      <c r="N591" s="438"/>
    </row>
    <row r="592" spans="4:14" ht="18.75">
      <c r="D592" s="181" t="s">
        <v>248</v>
      </c>
      <c r="E592" s="181" t="s">
        <v>57</v>
      </c>
      <c r="F592" s="182"/>
      <c r="G592" s="182"/>
      <c r="H592" s="182"/>
      <c r="I592" s="182"/>
      <c r="J592" s="182"/>
      <c r="K592" s="182"/>
      <c r="L592" s="182"/>
      <c r="M592" s="438">
        <f>M410</f>
        <v>24640.7</v>
      </c>
      <c r="N592" s="438">
        <f>N410</f>
        <v>24674.7</v>
      </c>
    </row>
    <row r="593" spans="4:14" ht="18.75">
      <c r="D593" s="181" t="s">
        <v>248</v>
      </c>
      <c r="E593" s="181" t="s">
        <v>72</v>
      </c>
      <c r="F593" s="182"/>
      <c r="G593" s="182"/>
      <c r="H593" s="182"/>
      <c r="I593" s="182"/>
      <c r="J593" s="182"/>
      <c r="K593" s="182"/>
      <c r="L593" s="182"/>
      <c r="M593" s="438">
        <f>M429</f>
        <v>9246.1</v>
      </c>
      <c r="N593" s="438">
        <f>N429</f>
        <v>9303.9000000000015</v>
      </c>
    </row>
    <row r="594" spans="4:14" ht="18.75">
      <c r="D594" s="439" t="s">
        <v>248</v>
      </c>
      <c r="E594" s="439" t="s">
        <v>63</v>
      </c>
      <c r="F594" s="182"/>
      <c r="G594" s="182"/>
      <c r="H594" s="182"/>
      <c r="I594" s="182"/>
      <c r="J594" s="182"/>
      <c r="K594" s="182"/>
      <c r="L594" s="182"/>
      <c r="M594" s="440">
        <f>SUBTOTAL(9,M592:M593)</f>
        <v>33886.800000000003</v>
      </c>
      <c r="N594" s="440">
        <f>SUBTOTAL(9,N592:N593)</f>
        <v>33978.600000000006</v>
      </c>
    </row>
    <row r="595" spans="4:14" ht="18.75">
      <c r="D595" s="181"/>
      <c r="E595" s="181"/>
      <c r="F595" s="182"/>
      <c r="G595" s="182"/>
      <c r="H595" s="182"/>
      <c r="I595" s="182"/>
      <c r="J595" s="182"/>
      <c r="K595" s="182"/>
      <c r="L595" s="182"/>
      <c r="M595" s="438"/>
      <c r="N595" s="438"/>
    </row>
    <row r="596" spans="4:14" ht="18.75">
      <c r="D596" s="181" t="s">
        <v>125</v>
      </c>
      <c r="E596" s="181" t="s">
        <v>57</v>
      </c>
      <c r="F596" s="182"/>
      <c r="G596" s="182"/>
      <c r="H596" s="182"/>
      <c r="I596" s="182"/>
      <c r="J596" s="182"/>
      <c r="K596" s="182"/>
      <c r="L596" s="182"/>
      <c r="M596" s="438">
        <f>M157</f>
        <v>552</v>
      </c>
      <c r="N596" s="438">
        <f>N157</f>
        <v>552</v>
      </c>
    </row>
    <row r="597" spans="4:14" ht="18.75">
      <c r="D597" s="181" t="s">
        <v>125</v>
      </c>
      <c r="E597" s="181" t="s">
        <v>72</v>
      </c>
      <c r="F597" s="182"/>
      <c r="G597" s="182"/>
      <c r="H597" s="182"/>
      <c r="I597" s="182"/>
      <c r="J597" s="182"/>
      <c r="K597" s="182"/>
      <c r="L597" s="182"/>
      <c r="M597" s="438">
        <f>M257+M379+M523</f>
        <v>108756.9</v>
      </c>
      <c r="N597" s="438">
        <f>N257+N379+N523</f>
        <v>110139.7</v>
      </c>
    </row>
    <row r="598" spans="4:14" ht="18.75">
      <c r="D598" s="181" t="s">
        <v>125</v>
      </c>
      <c r="E598" s="181" t="s">
        <v>102</v>
      </c>
      <c r="F598" s="182"/>
      <c r="G598" s="182"/>
      <c r="H598" s="182"/>
      <c r="I598" s="182"/>
      <c r="J598" s="182"/>
      <c r="K598" s="182"/>
      <c r="L598" s="182"/>
      <c r="M598" s="438">
        <f>M539+M163</f>
        <v>8520.4</v>
      </c>
      <c r="N598" s="438">
        <f>N539+N163</f>
        <v>8520.4</v>
      </c>
    </row>
    <row r="599" spans="4:14" ht="18.75">
      <c r="D599" s="439" t="s">
        <v>125</v>
      </c>
      <c r="E599" s="439" t="s">
        <v>63</v>
      </c>
      <c r="F599" s="182"/>
      <c r="G599" s="182"/>
      <c r="H599" s="182"/>
      <c r="I599" s="182"/>
      <c r="J599" s="182"/>
      <c r="K599" s="182"/>
      <c r="L599" s="182"/>
      <c r="M599" s="440">
        <f>SUBTOTAL(9,M596:M598)</f>
        <v>117829.29999999999</v>
      </c>
      <c r="N599" s="440">
        <f>SUBTOTAL(9,N596:N598)</f>
        <v>119212.09999999999</v>
      </c>
    </row>
    <row r="600" spans="4:14" ht="18.75">
      <c r="D600" s="181"/>
      <c r="E600" s="181"/>
      <c r="F600" s="182"/>
      <c r="G600" s="182"/>
      <c r="H600" s="182"/>
      <c r="I600" s="182"/>
      <c r="J600" s="182"/>
      <c r="K600" s="182"/>
      <c r="L600" s="182"/>
      <c r="M600" s="438"/>
      <c r="N600" s="438"/>
    </row>
    <row r="601" spans="4:14" ht="18.75">
      <c r="D601" s="181" t="s">
        <v>88</v>
      </c>
      <c r="E601" s="181" t="s">
        <v>57</v>
      </c>
      <c r="F601" s="182"/>
      <c r="G601" s="182"/>
      <c r="H601" s="182"/>
      <c r="I601" s="182"/>
      <c r="J601" s="182"/>
      <c r="K601" s="182"/>
      <c r="L601" s="182"/>
      <c r="M601" s="438">
        <f>M451</f>
        <v>19316.600000000002</v>
      </c>
      <c r="N601" s="438">
        <f>N451</f>
        <v>18463.7</v>
      </c>
    </row>
    <row r="602" spans="4:14" ht="18.75">
      <c r="D602" s="181" t="s">
        <v>88</v>
      </c>
      <c r="E602" s="181" t="s">
        <v>59</v>
      </c>
      <c r="F602" s="182"/>
      <c r="G602" s="182"/>
      <c r="H602" s="182"/>
      <c r="I602" s="182"/>
      <c r="J602" s="182"/>
      <c r="K602" s="182"/>
      <c r="L602" s="182"/>
      <c r="M602" s="438">
        <f>M467</f>
        <v>0</v>
      </c>
      <c r="N602" s="438">
        <f>N467</f>
        <v>3689.7999999999997</v>
      </c>
    </row>
    <row r="603" spans="4:14" ht="18.75">
      <c r="D603" s="181" t="s">
        <v>88</v>
      </c>
      <c r="E603" s="181" t="s">
        <v>86</v>
      </c>
      <c r="F603" s="182"/>
      <c r="G603" s="182"/>
      <c r="H603" s="182"/>
      <c r="I603" s="182"/>
      <c r="J603" s="182"/>
      <c r="K603" s="182"/>
      <c r="L603" s="182"/>
      <c r="M603" s="438">
        <f>M473</f>
        <v>2485.4</v>
      </c>
      <c r="N603" s="438">
        <f>N473</f>
        <v>2375.7000000000003</v>
      </c>
    </row>
    <row r="604" spans="4:14" ht="18.75">
      <c r="D604" s="439" t="s">
        <v>88</v>
      </c>
      <c r="E604" s="439" t="s">
        <v>63</v>
      </c>
      <c r="F604" s="182"/>
      <c r="G604" s="182"/>
      <c r="H604" s="182"/>
      <c r="I604" s="182"/>
      <c r="J604" s="182"/>
      <c r="K604" s="182"/>
      <c r="L604" s="182"/>
      <c r="M604" s="440">
        <f>SUBTOTAL(9,M601:M603)</f>
        <v>21802.000000000004</v>
      </c>
      <c r="N604" s="440">
        <f>SUBTOTAL(9,N601:N603)</f>
        <v>24529.200000000001</v>
      </c>
    </row>
    <row r="605" spans="4:14" ht="18.75">
      <c r="D605" s="181"/>
      <c r="E605" s="181"/>
      <c r="F605" s="182"/>
      <c r="G605" s="182"/>
      <c r="H605" s="182"/>
      <c r="I605" s="182"/>
      <c r="J605" s="182"/>
      <c r="K605" s="182"/>
      <c r="L605" s="182"/>
      <c r="M605" s="438"/>
      <c r="N605" s="438"/>
    </row>
    <row r="606" spans="4:14" ht="18.75">
      <c r="D606" s="181" t="s">
        <v>92</v>
      </c>
      <c r="E606" s="181" t="s">
        <v>57</v>
      </c>
      <c r="F606" s="182"/>
      <c r="G606" s="182"/>
      <c r="H606" s="182"/>
      <c r="I606" s="182"/>
      <c r="J606" s="182"/>
      <c r="K606" s="182"/>
      <c r="L606" s="182"/>
      <c r="M606" s="438">
        <f>M170</f>
        <v>9.4</v>
      </c>
      <c r="N606" s="438">
        <f>N170</f>
        <v>0</v>
      </c>
    </row>
    <row r="607" spans="4:14" ht="18.75">
      <c r="D607" s="439" t="s">
        <v>92</v>
      </c>
      <c r="E607" s="439" t="s">
        <v>63</v>
      </c>
      <c r="F607" s="182"/>
      <c r="G607" s="182"/>
      <c r="H607" s="182"/>
      <c r="I607" s="182"/>
      <c r="J607" s="182"/>
      <c r="K607" s="182"/>
      <c r="L607" s="182"/>
      <c r="M607" s="440">
        <f>M606</f>
        <v>9.4</v>
      </c>
      <c r="N607" s="440">
        <f>N606</f>
        <v>0</v>
      </c>
    </row>
    <row r="608" spans="4:14" ht="18.75">
      <c r="D608" s="181"/>
      <c r="E608" s="181"/>
      <c r="F608" s="182"/>
      <c r="G608" s="182"/>
      <c r="H608" s="182"/>
      <c r="I608" s="182"/>
      <c r="J608" s="182"/>
      <c r="K608" s="182"/>
      <c r="L608" s="182"/>
      <c r="M608" s="438"/>
      <c r="N608" s="438"/>
    </row>
    <row r="609" spans="2:14" ht="18.75">
      <c r="D609" s="181" t="s">
        <v>109</v>
      </c>
      <c r="E609" s="181" t="s">
        <v>57</v>
      </c>
      <c r="F609" s="182"/>
      <c r="G609" s="182"/>
      <c r="H609" s="182"/>
      <c r="I609" s="182"/>
      <c r="J609" s="182"/>
      <c r="K609" s="182"/>
      <c r="L609" s="182"/>
      <c r="M609" s="438">
        <f>M197</f>
        <v>5500</v>
      </c>
      <c r="N609" s="438">
        <f>N197</f>
        <v>5500</v>
      </c>
    </row>
    <row r="610" spans="2:14" ht="18.75">
      <c r="D610" s="439" t="s">
        <v>109</v>
      </c>
      <c r="E610" s="439" t="s">
        <v>63</v>
      </c>
      <c r="F610" s="182"/>
      <c r="G610" s="182"/>
      <c r="H610" s="182"/>
      <c r="I610" s="182"/>
      <c r="J610" s="182"/>
      <c r="K610" s="182"/>
      <c r="L610" s="182"/>
      <c r="M610" s="440">
        <f>SUBTOTAL(9,M609:M609)</f>
        <v>5500</v>
      </c>
      <c r="N610" s="440">
        <f>SUBTOTAL(9,N609:N609)</f>
        <v>5500</v>
      </c>
    </row>
    <row r="611" spans="2:14" ht="18.75">
      <c r="D611" s="181"/>
      <c r="E611" s="181"/>
      <c r="F611" s="182"/>
      <c r="G611" s="182"/>
      <c r="H611" s="182"/>
      <c r="I611" s="182"/>
      <c r="J611" s="182"/>
      <c r="K611" s="182"/>
      <c r="L611" s="182"/>
      <c r="M611" s="438"/>
      <c r="N611" s="438"/>
    </row>
    <row r="612" spans="2:14" ht="18.75">
      <c r="D612" s="441" t="s">
        <v>447</v>
      </c>
      <c r="E612" s="181"/>
      <c r="F612" s="182"/>
      <c r="G612" s="182"/>
      <c r="H612" s="182"/>
      <c r="I612" s="182"/>
      <c r="J612" s="182"/>
      <c r="K612" s="182"/>
      <c r="L612" s="182"/>
      <c r="M612" s="438">
        <f>M552</f>
        <v>30290.2</v>
      </c>
      <c r="N612" s="438">
        <f>N552</f>
        <v>60960.7</v>
      </c>
    </row>
    <row r="613" spans="2:14" ht="18.75">
      <c r="D613" s="181"/>
      <c r="E613" s="181"/>
      <c r="F613" s="182"/>
      <c r="G613" s="182"/>
      <c r="H613" s="182"/>
      <c r="I613" s="182"/>
      <c r="J613" s="182"/>
      <c r="K613" s="182"/>
      <c r="L613" s="182"/>
      <c r="M613" s="438"/>
      <c r="N613" s="438"/>
    </row>
    <row r="614" spans="2:14" ht="18.75">
      <c r="D614" s="181"/>
      <c r="E614" s="181"/>
      <c r="F614" s="182"/>
      <c r="G614" s="182"/>
      <c r="H614" s="182"/>
      <c r="I614" s="182"/>
      <c r="J614" s="182"/>
      <c r="K614" s="182"/>
      <c r="L614" s="182"/>
      <c r="M614" s="440"/>
      <c r="N614" s="440"/>
    </row>
    <row r="615" spans="2:14" ht="18.75">
      <c r="D615" s="181"/>
      <c r="E615" s="181"/>
      <c r="F615" s="182"/>
      <c r="G615" s="182"/>
      <c r="H615" s="182"/>
      <c r="I615" s="182"/>
      <c r="J615" s="182"/>
      <c r="K615" s="182"/>
      <c r="L615" s="182"/>
      <c r="M615" s="438"/>
      <c r="N615" s="438"/>
    </row>
    <row r="616" spans="2:14" ht="18.75">
      <c r="B616" s="141" t="s">
        <v>452</v>
      </c>
      <c r="D616" s="181"/>
      <c r="E616" s="181"/>
      <c r="F616" s="182"/>
      <c r="G616" s="182"/>
      <c r="H616" s="182"/>
      <c r="I616" s="182"/>
      <c r="J616" s="182"/>
      <c r="K616" s="182"/>
      <c r="L616" s="182"/>
      <c r="M616" s="438"/>
      <c r="N616" s="438"/>
    </row>
    <row r="617" spans="2:14" ht="18.75">
      <c r="B617" s="141" t="s">
        <v>451</v>
      </c>
      <c r="D617" s="181"/>
      <c r="E617" s="181"/>
      <c r="F617" s="182"/>
      <c r="G617" s="182"/>
      <c r="H617" s="182"/>
      <c r="I617" s="182"/>
      <c r="J617" s="182"/>
      <c r="K617" s="182"/>
      <c r="L617" s="182"/>
      <c r="M617" s="438"/>
      <c r="N617" s="438"/>
    </row>
    <row r="618" spans="2:14" ht="18.75">
      <c r="D618" s="181"/>
      <c r="E618" s="181"/>
      <c r="F618" s="182"/>
      <c r="G618" s="182"/>
      <c r="H618" s="182"/>
      <c r="I618" s="182"/>
      <c r="J618" s="182"/>
      <c r="K618" s="182"/>
      <c r="L618" s="182"/>
      <c r="M618" s="442"/>
      <c r="N618" s="442"/>
    </row>
    <row r="619" spans="2:14" ht="18.75">
      <c r="D619" s="181"/>
      <c r="E619" s="181"/>
      <c r="F619" s="182"/>
      <c r="G619" s="182"/>
      <c r="H619" s="182"/>
      <c r="I619" s="182"/>
      <c r="J619" s="182"/>
      <c r="K619" s="182"/>
      <c r="L619" s="182"/>
      <c r="M619" s="442"/>
      <c r="N619" s="442"/>
    </row>
    <row r="621" spans="2:14">
      <c r="M621" s="183"/>
      <c r="N621" s="183"/>
    </row>
  </sheetData>
  <autoFilter ref="A4:P621"/>
  <mergeCells count="12">
    <mergeCell ref="F14:I14"/>
    <mergeCell ref="A8:N8"/>
    <mergeCell ref="A12:A13"/>
    <mergeCell ref="B12:B13"/>
    <mergeCell ref="C12:C13"/>
    <mergeCell ref="D12:D13"/>
    <mergeCell ref="E12:E13"/>
    <mergeCell ref="F12:I13"/>
    <mergeCell ref="J12:J13"/>
    <mergeCell ref="N12:N13"/>
    <mergeCell ref="L12:M12"/>
    <mergeCell ref="K12:K13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1" fitToHeight="0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H31"/>
  <sheetViews>
    <sheetView workbookViewId="0">
      <selection activeCell="C2" sqref="C2"/>
    </sheetView>
  </sheetViews>
  <sheetFormatPr defaultColWidth="9.140625" defaultRowHeight="12.75"/>
  <cols>
    <col min="1" max="1" width="33.28515625" style="608" customWidth="1"/>
    <col min="2" max="2" width="66.42578125" style="608" customWidth="1"/>
    <col min="3" max="3" width="20" style="608" customWidth="1"/>
    <col min="4" max="4" width="9.140625" style="30"/>
    <col min="5" max="5" width="17.7109375" style="30" customWidth="1"/>
    <col min="6" max="6" width="19.85546875" style="30" customWidth="1"/>
    <col min="7" max="7" width="10.85546875" style="30" bestFit="1" customWidth="1"/>
    <col min="8" max="16384" width="9.140625" style="30"/>
  </cols>
  <sheetData>
    <row r="1" spans="1:6" s="194" customFormat="1" ht="18.75">
      <c r="C1" s="201" t="s">
        <v>569</v>
      </c>
    </row>
    <row r="2" spans="1:6" s="194" customFormat="1" ht="18.75">
      <c r="C2" s="201" t="s">
        <v>1017</v>
      </c>
    </row>
    <row r="4" spans="1:6" ht="18.75">
      <c r="C4" s="201" t="s">
        <v>571</v>
      </c>
    </row>
    <row r="5" spans="1:6" ht="18.75">
      <c r="C5" s="496" t="s">
        <v>922</v>
      </c>
    </row>
    <row r="6" spans="1:6" ht="17.45" customHeight="1">
      <c r="A6" s="636"/>
      <c r="B6" s="636"/>
      <c r="C6" s="636"/>
    </row>
    <row r="7" spans="1:6" s="74" customFormat="1" ht="18" customHeight="1">
      <c r="A7" s="194"/>
      <c r="B7" s="194"/>
      <c r="C7" s="201"/>
    </row>
    <row r="8" spans="1:6" s="74" customFormat="1" ht="36" customHeight="1">
      <c r="A8" s="879" t="s">
        <v>785</v>
      </c>
      <c r="B8" s="880"/>
      <c r="C8" s="880"/>
    </row>
    <row r="9" spans="1:6" ht="18.75">
      <c r="A9" s="636"/>
      <c r="B9" s="636"/>
      <c r="C9" s="636"/>
      <c r="E9" s="107"/>
      <c r="F9" s="60"/>
    </row>
    <row r="10" spans="1:6" ht="18.75">
      <c r="A10" s="636"/>
      <c r="B10" s="636"/>
      <c r="C10" s="671" t="s">
        <v>261</v>
      </c>
    </row>
    <row r="11" spans="1:6" ht="58.9" customHeight="1">
      <c r="A11" s="638" t="s">
        <v>31</v>
      </c>
      <c r="B11" s="672" t="s">
        <v>888</v>
      </c>
      <c r="C11" s="672" t="s">
        <v>33</v>
      </c>
      <c r="E11" s="61"/>
      <c r="F11" s="61"/>
    </row>
    <row r="12" spans="1:6" ht="18" customHeight="1">
      <c r="A12" s="647">
        <v>1</v>
      </c>
      <c r="B12" s="673">
        <v>2</v>
      </c>
      <c r="C12" s="674">
        <v>3</v>
      </c>
      <c r="E12" s="61"/>
      <c r="F12" s="61"/>
    </row>
    <row r="13" spans="1:6" ht="37.15" customHeight="1">
      <c r="A13" s="675" t="s">
        <v>262</v>
      </c>
      <c r="B13" s="676" t="s">
        <v>263</v>
      </c>
      <c r="C13" s="677">
        <f>C18+C14</f>
        <v>30562.903000000166</v>
      </c>
      <c r="E13" s="87"/>
      <c r="F13" s="34"/>
    </row>
    <row r="14" spans="1:6" ht="50.25" customHeight="1">
      <c r="A14" s="678" t="s">
        <v>480</v>
      </c>
      <c r="B14" s="679" t="s">
        <v>872</v>
      </c>
      <c r="C14" s="680">
        <f>C15</f>
        <v>-6816</v>
      </c>
      <c r="E14" s="87"/>
      <c r="F14" s="34"/>
    </row>
    <row r="15" spans="1:6" ht="57" customHeight="1">
      <c r="A15" s="681" t="s">
        <v>481</v>
      </c>
      <c r="B15" s="682" t="s">
        <v>869</v>
      </c>
      <c r="C15" s="683">
        <f>-C16</f>
        <v>-6816</v>
      </c>
      <c r="E15" s="87"/>
      <c r="F15" s="34"/>
    </row>
    <row r="16" spans="1:6" ht="63" customHeight="1">
      <c r="A16" s="681" t="s">
        <v>482</v>
      </c>
      <c r="B16" s="682" t="s">
        <v>870</v>
      </c>
      <c r="C16" s="683">
        <f>C17</f>
        <v>6816</v>
      </c>
      <c r="E16" s="87"/>
      <c r="F16" s="34"/>
    </row>
    <row r="17" spans="1:8" ht="75.75" customHeight="1">
      <c r="A17" s="681" t="s">
        <v>483</v>
      </c>
      <c r="B17" s="682" t="s">
        <v>871</v>
      </c>
      <c r="C17" s="683">
        <v>6816</v>
      </c>
      <c r="E17" s="87"/>
      <c r="F17" s="34"/>
    </row>
    <row r="18" spans="1:8" s="35" customFormat="1" ht="34.9" customHeight="1">
      <c r="A18" s="678" t="s">
        <v>264</v>
      </c>
      <c r="B18" s="684" t="s">
        <v>265</v>
      </c>
      <c r="C18" s="680">
        <f>C23-C19</f>
        <v>37378.903000000166</v>
      </c>
      <c r="F18" s="36"/>
      <c r="G18" s="37"/>
    </row>
    <row r="19" spans="1:8" s="31" customFormat="1" ht="18.75">
      <c r="A19" s="681" t="s">
        <v>266</v>
      </c>
      <c r="B19" s="685" t="s">
        <v>267</v>
      </c>
      <c r="C19" s="686">
        <f>C20</f>
        <v>1563841.487</v>
      </c>
    </row>
    <row r="20" spans="1:8" s="31" customFormat="1" ht="18.75">
      <c r="A20" s="681" t="s">
        <v>268</v>
      </c>
      <c r="B20" s="685" t="s">
        <v>269</v>
      </c>
      <c r="C20" s="686">
        <f>C21</f>
        <v>1563841.487</v>
      </c>
    </row>
    <row r="21" spans="1:8" s="31" customFormat="1" ht="20.25" customHeight="1">
      <c r="A21" s="681" t="s">
        <v>389</v>
      </c>
      <c r="B21" s="687" t="s">
        <v>270</v>
      </c>
      <c r="C21" s="564">
        <f>C22</f>
        <v>1563841.487</v>
      </c>
    </row>
    <row r="22" spans="1:8" s="31" customFormat="1" ht="37.5" customHeight="1">
      <c r="A22" s="681" t="s">
        <v>271</v>
      </c>
      <c r="B22" s="687" t="s">
        <v>13</v>
      </c>
      <c r="C22" s="564">
        <f>'прил. 2 (поступл.21)'!C40</f>
        <v>1563841.487</v>
      </c>
    </row>
    <row r="23" spans="1:8" s="31" customFormat="1" ht="18.75">
      <c r="A23" s="681" t="s">
        <v>272</v>
      </c>
      <c r="B23" s="687" t="s">
        <v>273</v>
      </c>
      <c r="C23" s="564">
        <f>C24</f>
        <v>1601220.3900000001</v>
      </c>
    </row>
    <row r="24" spans="1:8" s="31" customFormat="1" ht="18.75">
      <c r="A24" s="681" t="s">
        <v>274</v>
      </c>
      <c r="B24" s="687" t="s">
        <v>275</v>
      </c>
      <c r="C24" s="564">
        <f>C25</f>
        <v>1601220.3900000001</v>
      </c>
    </row>
    <row r="25" spans="1:8" s="31" customFormat="1" ht="22.15" customHeight="1">
      <c r="A25" s="681" t="s">
        <v>276</v>
      </c>
      <c r="B25" s="687" t="s">
        <v>277</v>
      </c>
      <c r="C25" s="564">
        <f>C26</f>
        <v>1601220.3900000001</v>
      </c>
    </row>
    <row r="26" spans="1:8" s="31" customFormat="1" ht="37.5">
      <c r="A26" s="688" t="s">
        <v>278</v>
      </c>
      <c r="B26" s="689" t="s">
        <v>15</v>
      </c>
      <c r="C26" s="565">
        <f>'прил12(ведом 21)'!M14+C17</f>
        <v>1601220.3900000001</v>
      </c>
    </row>
    <row r="27" spans="1:8" s="31" customFormat="1" ht="18.75">
      <c r="A27" s="690"/>
      <c r="B27" s="691"/>
      <c r="C27" s="692"/>
    </row>
    <row r="28" spans="1:8" s="31" customFormat="1" ht="18.75">
      <c r="A28" s="690"/>
      <c r="B28" s="691"/>
      <c r="C28" s="692"/>
    </row>
    <row r="29" spans="1:8" s="24" customFormat="1" ht="18.75">
      <c r="A29" s="375" t="s">
        <v>467</v>
      </c>
      <c r="B29" s="283"/>
      <c r="C29" s="284"/>
      <c r="D29" s="27"/>
      <c r="E29" s="27"/>
      <c r="F29" s="28"/>
      <c r="G29" s="29"/>
      <c r="H29" s="25"/>
    </row>
    <row r="30" spans="1:8" s="24" customFormat="1" ht="18.75">
      <c r="A30" s="375" t="s">
        <v>468</v>
      </c>
      <c r="B30" s="283"/>
      <c r="C30" s="284"/>
      <c r="D30" s="27"/>
      <c r="E30" s="27"/>
      <c r="F30" s="28"/>
      <c r="G30" s="29"/>
      <c r="H30" s="25"/>
    </row>
    <row r="31" spans="1:8" s="24" customFormat="1" ht="18.75">
      <c r="A31" s="376" t="s">
        <v>469</v>
      </c>
      <c r="B31" s="283"/>
      <c r="C31" s="377" t="s">
        <v>494</v>
      </c>
      <c r="D31" s="27"/>
      <c r="E31" s="27"/>
      <c r="F31" s="28"/>
    </row>
  </sheetData>
  <mergeCells count="1">
    <mergeCell ref="A8:C8"/>
  </mergeCells>
  <printOptions horizontalCentered="1"/>
  <pageMargins left="1.1811023622047245" right="0.39370078740157483" top="0.62992125984251968" bottom="0.19685039370078741" header="0" footer="0"/>
  <pageSetup paperSize="9" scale="70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G31"/>
  <sheetViews>
    <sheetView workbookViewId="0">
      <selection activeCell="D2" sqref="D2"/>
    </sheetView>
  </sheetViews>
  <sheetFormatPr defaultColWidth="9.140625" defaultRowHeight="12.75"/>
  <cols>
    <col min="1" max="1" width="33.28515625" style="30" customWidth="1"/>
    <col min="2" max="2" width="52.140625" style="30" customWidth="1"/>
    <col min="3" max="3" width="14.140625" style="30" customWidth="1"/>
    <col min="4" max="4" width="14.42578125" style="30" customWidth="1"/>
    <col min="5" max="5" width="17.7109375" style="30" customWidth="1"/>
    <col min="6" max="6" width="19.85546875" style="30" customWidth="1"/>
    <col min="7" max="7" width="10.85546875" style="30" bestFit="1" customWidth="1"/>
    <col min="8" max="16384" width="9.140625" style="30"/>
  </cols>
  <sheetData>
    <row r="1" spans="1:6" ht="18.75">
      <c r="D1" s="1" t="s">
        <v>570</v>
      </c>
    </row>
    <row r="2" spans="1:6" ht="18.75">
      <c r="D2" s="1" t="s">
        <v>1017</v>
      </c>
    </row>
    <row r="4" spans="1:6" ht="18.75">
      <c r="D4" s="1" t="s">
        <v>572</v>
      </c>
    </row>
    <row r="5" spans="1:6" ht="18.75">
      <c r="D5" s="496" t="s">
        <v>922</v>
      </c>
    </row>
    <row r="6" spans="1:6" ht="17.45" customHeight="1">
      <c r="A6" s="19"/>
      <c r="B6" s="19"/>
      <c r="C6" s="19"/>
    </row>
    <row r="7" spans="1:6" s="74" customFormat="1" ht="45" customHeight="1">
      <c r="A7" s="884" t="s">
        <v>786</v>
      </c>
      <c r="B7" s="884"/>
      <c r="C7" s="884"/>
      <c r="D7" s="884"/>
    </row>
    <row r="8" spans="1:6" ht="18" customHeight="1">
      <c r="A8" s="19"/>
      <c r="B8" s="19"/>
      <c r="C8" s="19"/>
      <c r="E8" s="107"/>
      <c r="F8" s="60"/>
    </row>
    <row r="9" spans="1:6" ht="18.75">
      <c r="A9" s="19"/>
      <c r="B9" s="19"/>
      <c r="D9" s="32" t="s">
        <v>261</v>
      </c>
    </row>
    <row r="10" spans="1:6" ht="16.149999999999999" customHeight="1">
      <c r="A10" s="883" t="s">
        <v>31</v>
      </c>
      <c r="B10" s="883" t="s">
        <v>888</v>
      </c>
      <c r="C10" s="881" t="s">
        <v>33</v>
      </c>
      <c r="D10" s="882"/>
    </row>
    <row r="11" spans="1:6" ht="55.5" customHeight="1">
      <c r="A11" s="883"/>
      <c r="B11" s="883"/>
      <c r="C11" s="43" t="s">
        <v>580</v>
      </c>
      <c r="D11" s="43" t="s">
        <v>776</v>
      </c>
      <c r="E11" s="61"/>
      <c r="F11" s="61"/>
    </row>
    <row r="12" spans="1:6" ht="18" customHeight="1">
      <c r="A12" s="68">
        <v>1</v>
      </c>
      <c r="B12" s="69">
        <v>2</v>
      </c>
      <c r="C12" s="70">
        <v>3</v>
      </c>
      <c r="D12" s="70">
        <v>4</v>
      </c>
      <c r="E12" s="61"/>
      <c r="F12" s="61"/>
    </row>
    <row r="13" spans="1:6" ht="56.25">
      <c r="A13" s="76" t="s">
        <v>262</v>
      </c>
      <c r="B13" s="88" t="s">
        <v>263</v>
      </c>
      <c r="C13" s="67">
        <f>C18+C14</f>
        <v>-10224</v>
      </c>
      <c r="D13" s="67">
        <f>D18+D14</f>
        <v>0</v>
      </c>
      <c r="E13" s="33"/>
      <c r="F13" s="34"/>
    </row>
    <row r="14" spans="1:6" ht="56.25">
      <c r="A14" s="77" t="s">
        <v>480</v>
      </c>
      <c r="B14" s="135" t="s">
        <v>872</v>
      </c>
      <c r="C14" s="67">
        <f>C15</f>
        <v>-10224</v>
      </c>
      <c r="D14" s="67">
        <f>D15</f>
        <v>0</v>
      </c>
      <c r="E14" s="33"/>
      <c r="F14" s="34"/>
    </row>
    <row r="15" spans="1:6" ht="59.25" customHeight="1">
      <c r="A15" s="78" t="s">
        <v>481</v>
      </c>
      <c r="B15" s="136" t="s">
        <v>869</v>
      </c>
      <c r="C15" s="137">
        <f>-C16</f>
        <v>-10224</v>
      </c>
      <c r="D15" s="137">
        <f>-D16</f>
        <v>0</v>
      </c>
      <c r="E15" s="33"/>
      <c r="F15" s="34"/>
    </row>
    <row r="16" spans="1:6" ht="77.25" customHeight="1">
      <c r="A16" s="78" t="s">
        <v>482</v>
      </c>
      <c r="B16" s="136" t="s">
        <v>870</v>
      </c>
      <c r="C16" s="108">
        <f>C17</f>
        <v>10224</v>
      </c>
      <c r="D16" s="108">
        <f>D17</f>
        <v>0</v>
      </c>
      <c r="E16" s="33"/>
      <c r="F16" s="34"/>
    </row>
    <row r="17" spans="1:7" ht="75" customHeight="1">
      <c r="A17" s="78" t="s">
        <v>483</v>
      </c>
      <c r="B17" s="136" t="s">
        <v>871</v>
      </c>
      <c r="C17" s="108">
        <v>10224</v>
      </c>
      <c r="D17" s="108">
        <v>0</v>
      </c>
      <c r="E17" s="33"/>
      <c r="F17" s="34"/>
    </row>
    <row r="18" spans="1:7" s="35" customFormat="1" ht="37.5">
      <c r="A18" s="77" t="s">
        <v>264</v>
      </c>
      <c r="B18" s="89" t="s">
        <v>265</v>
      </c>
      <c r="C18" s="67">
        <f>C23-C19</f>
        <v>0</v>
      </c>
      <c r="D18" s="86">
        <f>D23-D19</f>
        <v>0</v>
      </c>
      <c r="F18" s="36"/>
      <c r="G18" s="37"/>
    </row>
    <row r="19" spans="1:7" s="31" customFormat="1" ht="18.75">
      <c r="A19" s="78" t="s">
        <v>266</v>
      </c>
      <c r="B19" s="136" t="s">
        <v>267</v>
      </c>
      <c r="C19" s="566">
        <f t="shared" ref="C19:D21" si="0">C20</f>
        <v>1494979.2999999998</v>
      </c>
      <c r="D19" s="563">
        <f t="shared" si="0"/>
        <v>1512134.5</v>
      </c>
    </row>
    <row r="20" spans="1:7" s="31" customFormat="1" ht="21.75" customHeight="1">
      <c r="A20" s="78" t="s">
        <v>268</v>
      </c>
      <c r="B20" s="136" t="s">
        <v>269</v>
      </c>
      <c r="C20" s="566">
        <f t="shared" si="0"/>
        <v>1494979.2999999998</v>
      </c>
      <c r="D20" s="563">
        <f t="shared" si="0"/>
        <v>1512134.5</v>
      </c>
    </row>
    <row r="21" spans="1:7" s="31" customFormat="1" ht="37.5" customHeight="1">
      <c r="A21" s="78" t="s">
        <v>389</v>
      </c>
      <c r="B21" s="136" t="s">
        <v>270</v>
      </c>
      <c r="C21" s="566">
        <f t="shared" si="0"/>
        <v>1494979.2999999998</v>
      </c>
      <c r="D21" s="563">
        <f t="shared" si="0"/>
        <v>1512134.5</v>
      </c>
    </row>
    <row r="22" spans="1:7" s="31" customFormat="1" ht="39.75" customHeight="1">
      <c r="A22" s="78" t="s">
        <v>271</v>
      </c>
      <c r="B22" s="136" t="s">
        <v>13</v>
      </c>
      <c r="C22" s="566">
        <f>'прил. 3 (поступл. 22-23)'!C40</f>
        <v>1494979.2999999998</v>
      </c>
      <c r="D22" s="563">
        <f>'прил. 3 (поступл. 22-23)'!D40</f>
        <v>1512134.5</v>
      </c>
    </row>
    <row r="23" spans="1:7" s="31" customFormat="1" ht="18.75">
      <c r="A23" s="78" t="s">
        <v>272</v>
      </c>
      <c r="B23" s="136" t="s">
        <v>273</v>
      </c>
      <c r="C23" s="566">
        <f t="shared" ref="C23:D25" si="1">C24</f>
        <v>1494979.3</v>
      </c>
      <c r="D23" s="566">
        <f t="shared" si="1"/>
        <v>1512134.5</v>
      </c>
    </row>
    <row r="24" spans="1:7" s="31" customFormat="1" ht="37.5">
      <c r="A24" s="78" t="s">
        <v>274</v>
      </c>
      <c r="B24" s="136" t="s">
        <v>275</v>
      </c>
      <c r="C24" s="566">
        <f t="shared" si="1"/>
        <v>1494979.3</v>
      </c>
      <c r="D24" s="563">
        <f t="shared" si="1"/>
        <v>1512134.5</v>
      </c>
    </row>
    <row r="25" spans="1:7" s="31" customFormat="1" ht="37.5">
      <c r="A25" s="78" t="s">
        <v>276</v>
      </c>
      <c r="B25" s="136" t="s">
        <v>277</v>
      </c>
      <c r="C25" s="566">
        <f t="shared" si="1"/>
        <v>1494979.3</v>
      </c>
      <c r="D25" s="563">
        <f t="shared" si="1"/>
        <v>1512134.5</v>
      </c>
    </row>
    <row r="26" spans="1:7" s="31" customFormat="1" ht="39" customHeight="1">
      <c r="A26" s="82" t="s">
        <v>278</v>
      </c>
      <c r="B26" s="567" t="s">
        <v>15</v>
      </c>
      <c r="C26" s="568">
        <f>'прил13(ведом 22-23)'!M15+'прил.15 (Источники 22-23)'!C17</f>
        <v>1494979.3</v>
      </c>
      <c r="D26" s="568">
        <f>'прил13(ведом 22-23)'!N15+'прил.15 (Источники 22-23)'!D17</f>
        <v>1512134.5</v>
      </c>
    </row>
    <row r="27" spans="1:7" s="31" customFormat="1" ht="18.75">
      <c r="A27" s="83"/>
      <c r="B27" s="85"/>
      <c r="C27" s="109"/>
      <c r="D27" s="109"/>
    </row>
    <row r="28" spans="1:7" ht="18.75">
      <c r="A28" s="19"/>
      <c r="B28" s="19"/>
      <c r="C28" s="19"/>
    </row>
    <row r="29" spans="1:7" s="64" customFormat="1" ht="18.75">
      <c r="A29" s="90" t="s">
        <v>467</v>
      </c>
      <c r="B29" s="26"/>
      <c r="C29" s="27"/>
    </row>
    <row r="30" spans="1:7" s="64" customFormat="1" ht="18.75">
      <c r="A30" s="90" t="s">
        <v>468</v>
      </c>
      <c r="B30" s="26"/>
      <c r="C30" s="27"/>
    </row>
    <row r="31" spans="1:7" s="64" customFormat="1" ht="18.75">
      <c r="A31" s="91" t="s">
        <v>469</v>
      </c>
      <c r="B31" s="26"/>
      <c r="D31" s="23" t="s">
        <v>494</v>
      </c>
    </row>
  </sheetData>
  <mergeCells count="4">
    <mergeCell ref="C10:D10"/>
    <mergeCell ref="A10:A11"/>
    <mergeCell ref="B10:B11"/>
    <mergeCell ref="A7:D7"/>
  </mergeCells>
  <printOptions horizontalCentered="1"/>
  <pageMargins left="1.1811023622047245" right="0.39370078740157483" top="0.78740157480314965" bottom="0.59055118110236227" header="0" footer="0"/>
  <pageSetup paperSize="9" scale="74" fitToHeight="0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8A0000"/>
    <pageSetUpPr fitToPage="1"/>
  </sheetPr>
  <dimension ref="A1:H20"/>
  <sheetViews>
    <sheetView workbookViewId="0">
      <selection activeCell="B2" sqref="B2"/>
    </sheetView>
  </sheetViews>
  <sheetFormatPr defaultColWidth="8.85546875" defaultRowHeight="18.75"/>
  <cols>
    <col min="1" max="1" width="73.7109375" style="46" customWidth="1"/>
    <col min="2" max="2" width="17.28515625" style="46" customWidth="1"/>
    <col min="3" max="16384" width="8.85546875" style="46"/>
  </cols>
  <sheetData>
    <row r="1" spans="1:3" s="193" customFormat="1">
      <c r="B1" s="201" t="s">
        <v>493</v>
      </c>
    </row>
    <row r="2" spans="1:3" s="193" customFormat="1">
      <c r="B2" s="201" t="s">
        <v>1017</v>
      </c>
    </row>
    <row r="4" spans="1:3">
      <c r="B4" s="1" t="s">
        <v>573</v>
      </c>
    </row>
    <row r="5" spans="1:3">
      <c r="B5" s="496" t="s">
        <v>922</v>
      </c>
    </row>
    <row r="8" spans="1:3" ht="57" customHeight="1">
      <c r="A8" s="885" t="s">
        <v>787</v>
      </c>
      <c r="B8" s="885"/>
      <c r="C8" s="103"/>
    </row>
    <row r="9" spans="1:3" ht="16.899999999999999" customHeight="1">
      <c r="A9" s="92"/>
      <c r="B9" s="92"/>
      <c r="C9" s="103"/>
    </row>
    <row r="10" spans="1:3">
      <c r="B10" s="1" t="s">
        <v>42</v>
      </c>
    </row>
    <row r="11" spans="1:3" ht="31.9" customHeight="1">
      <c r="A11" s="95" t="s">
        <v>297</v>
      </c>
      <c r="B11" s="95" t="s">
        <v>33</v>
      </c>
    </row>
    <row r="12" spans="1:3">
      <c r="A12" s="73">
        <v>1</v>
      </c>
      <c r="B12" s="73">
        <v>2</v>
      </c>
    </row>
    <row r="13" spans="1:3" ht="22.9" customHeight="1">
      <c r="A13" s="104" t="s">
        <v>369</v>
      </c>
      <c r="B13" s="105">
        <f>SUM(B14:B15)</f>
        <v>40156.112000000001</v>
      </c>
    </row>
    <row r="14" spans="1:3">
      <c r="A14" s="45" t="s">
        <v>298</v>
      </c>
      <c r="B14" s="106">
        <f>'прил12(ведом 21)'!M255</f>
        <v>5500</v>
      </c>
    </row>
    <row r="15" spans="1:3" ht="37.5">
      <c r="A15" s="47" t="s">
        <v>690</v>
      </c>
      <c r="B15" s="763">
        <f>'прил12(ведом 21)'!M96+'прил12(ведом 21)'!M98++'прил12(ведом 21)'!M106+'прил12(ведом 21)'!M210+'прил12(ведом 21)'!M213+'прил12(ведом 21)'!M261+'прил12(ведом 21)'!M216+'прил12(ведом 21)'!M219+'прил12(ведом 21)'!M222+'прил12(ведом 21)'!M225</f>
        <v>34656.112000000001</v>
      </c>
    </row>
    <row r="18" spans="1:8" s="24" customFormat="1">
      <c r="A18" s="90" t="s">
        <v>467</v>
      </c>
      <c r="B18" s="26"/>
      <c r="C18" s="27"/>
      <c r="D18" s="27"/>
      <c r="E18" s="27"/>
      <c r="F18" s="28"/>
      <c r="G18" s="29"/>
      <c r="H18" s="25"/>
    </row>
    <row r="19" spans="1:8" s="24" customFormat="1">
      <c r="A19" s="90" t="s">
        <v>468</v>
      </c>
      <c r="B19" s="26"/>
      <c r="C19" s="27"/>
      <c r="D19" s="27"/>
      <c r="E19" s="27"/>
      <c r="F19" s="28"/>
      <c r="G19" s="29"/>
      <c r="H19" s="25"/>
    </row>
    <row r="20" spans="1:8" s="24" customFormat="1">
      <c r="A20" s="91" t="s">
        <v>469</v>
      </c>
      <c r="B20" s="23" t="s">
        <v>494</v>
      </c>
      <c r="D20" s="27"/>
      <c r="E20" s="27"/>
      <c r="F20" s="28"/>
    </row>
  </sheetData>
  <mergeCells count="1">
    <mergeCell ref="A8:B8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5" fitToHeight="0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H21"/>
  <sheetViews>
    <sheetView workbookViewId="0">
      <selection activeCell="C2" sqref="C2"/>
    </sheetView>
  </sheetViews>
  <sheetFormatPr defaultColWidth="8.85546875" defaultRowHeight="18.75"/>
  <cols>
    <col min="1" max="1" width="73.7109375" style="46" customWidth="1"/>
    <col min="2" max="2" width="14.85546875" style="46" customWidth="1"/>
    <col min="3" max="3" width="14.28515625" style="46" customWidth="1"/>
    <col min="4" max="16384" width="8.85546875" style="46"/>
  </cols>
  <sheetData>
    <row r="1" spans="1:3">
      <c r="C1" s="39" t="s">
        <v>426</v>
      </c>
    </row>
    <row r="2" spans="1:3">
      <c r="C2" s="201" t="s">
        <v>1017</v>
      </c>
    </row>
    <row r="4" spans="1:3">
      <c r="C4" s="39" t="s">
        <v>426</v>
      </c>
    </row>
    <row r="5" spans="1:3">
      <c r="C5" s="496" t="s">
        <v>922</v>
      </c>
    </row>
    <row r="8" spans="1:3" ht="42.6" customHeight="1">
      <c r="A8" s="886" t="s">
        <v>788</v>
      </c>
      <c r="B8" s="886"/>
      <c r="C8" s="886"/>
    </row>
    <row r="9" spans="1:3" ht="16.899999999999999" customHeight="1">
      <c r="A9" s="92"/>
      <c r="B9" s="92"/>
      <c r="C9" s="103"/>
    </row>
    <row r="10" spans="1:3">
      <c r="C10" s="1" t="s">
        <v>42</v>
      </c>
    </row>
    <row r="11" spans="1:3">
      <c r="A11" s="888" t="s">
        <v>297</v>
      </c>
      <c r="B11" s="887" t="s">
        <v>33</v>
      </c>
      <c r="C11" s="887"/>
    </row>
    <row r="12" spans="1:3" ht="23.45" customHeight="1">
      <c r="A12" s="889"/>
      <c r="B12" s="43" t="s">
        <v>580</v>
      </c>
      <c r="C12" s="43" t="s">
        <v>776</v>
      </c>
    </row>
    <row r="13" spans="1:3">
      <c r="A13" s="73">
        <v>1</v>
      </c>
      <c r="B13" s="73">
        <v>2</v>
      </c>
      <c r="C13" s="73">
        <v>3</v>
      </c>
    </row>
    <row r="14" spans="1:3" ht="18" customHeight="1">
      <c r="A14" s="104" t="s">
        <v>369</v>
      </c>
      <c r="B14" s="105">
        <f>SUM(B15:B16)</f>
        <v>8575.2999999999993</v>
      </c>
      <c r="C14" s="105">
        <f>SUM(C15:C16)</f>
        <v>8575.2999999999993</v>
      </c>
    </row>
    <row r="15" spans="1:3">
      <c r="A15" s="45" t="s">
        <v>298</v>
      </c>
      <c r="B15" s="106">
        <f>'прил13(ведом 22-23)'!M202</f>
        <v>5500</v>
      </c>
      <c r="C15" s="106">
        <f>'прил13(ведом 22-23)'!N202</f>
        <v>5500</v>
      </c>
    </row>
    <row r="16" spans="1:3" ht="37.5">
      <c r="A16" s="47" t="s">
        <v>690</v>
      </c>
      <c r="B16" s="106">
        <f>'прил13(ведом 22-23)'!M92</f>
        <v>3075.3</v>
      </c>
      <c r="C16" s="106">
        <f>'прил13(ведом 22-23)'!N92</f>
        <v>3075.3</v>
      </c>
    </row>
    <row r="17" spans="1:8">
      <c r="A17" s="4"/>
      <c r="B17" s="195"/>
    </row>
    <row r="19" spans="1:8" s="24" customFormat="1">
      <c r="A19" s="90" t="s">
        <v>467</v>
      </c>
      <c r="B19" s="26"/>
      <c r="C19" s="27"/>
      <c r="D19" s="27"/>
      <c r="E19" s="27"/>
      <c r="F19" s="28"/>
      <c r="G19" s="29"/>
      <c r="H19" s="25"/>
    </row>
    <row r="20" spans="1:8" s="24" customFormat="1">
      <c r="A20" s="90" t="s">
        <v>468</v>
      </c>
      <c r="B20" s="26"/>
      <c r="C20" s="27"/>
      <c r="D20" s="27"/>
      <c r="E20" s="27"/>
      <c r="F20" s="28"/>
      <c r="G20" s="29"/>
      <c r="H20" s="25"/>
    </row>
    <row r="21" spans="1:8" s="24" customFormat="1">
      <c r="A21" s="91" t="s">
        <v>469</v>
      </c>
      <c r="C21" s="23" t="s">
        <v>494</v>
      </c>
      <c r="D21" s="27"/>
      <c r="E21" s="27"/>
      <c r="F21" s="28"/>
    </row>
  </sheetData>
  <mergeCells count="3">
    <mergeCell ref="A8:C8"/>
    <mergeCell ref="B11:C11"/>
    <mergeCell ref="A11:A12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J34"/>
  <sheetViews>
    <sheetView workbookViewId="0">
      <selection activeCell="S29" sqref="S29"/>
    </sheetView>
  </sheetViews>
  <sheetFormatPr defaultColWidth="8.85546875" defaultRowHeight="12.75"/>
  <cols>
    <col min="1" max="1" width="7.42578125" style="102" customWidth="1"/>
    <col min="2" max="3" width="8.85546875" style="102"/>
    <col min="4" max="4" width="6.5703125" style="102" customWidth="1"/>
    <col min="5" max="5" width="37.42578125" style="102" customWidth="1"/>
    <col min="6" max="6" width="15.28515625" style="102" customWidth="1"/>
    <col min="7" max="7" width="9.5703125" style="102" bestFit="1" customWidth="1"/>
    <col min="8" max="8" width="9.85546875" style="102" customWidth="1"/>
    <col min="9" max="9" width="8.85546875" style="102"/>
    <col min="10" max="10" width="11.85546875" style="102" bestFit="1" customWidth="1"/>
    <col min="11" max="16384" width="8.85546875" style="102"/>
  </cols>
  <sheetData>
    <row r="1" spans="1:10" ht="18" customHeight="1">
      <c r="F1" s="5" t="s">
        <v>427</v>
      </c>
    </row>
    <row r="2" spans="1:10" ht="16.149999999999999" customHeight="1">
      <c r="F2" s="496" t="s">
        <v>922</v>
      </c>
    </row>
    <row r="3" spans="1:10" ht="18" customHeight="1"/>
    <row r="4" spans="1:10" s="11" customFormat="1" ht="18.75">
      <c r="F4" s="13"/>
    </row>
    <row r="5" spans="1:10" s="11" customFormat="1" ht="61.5" customHeight="1">
      <c r="A5" s="890" t="s">
        <v>884</v>
      </c>
      <c r="B5" s="890"/>
      <c r="C5" s="890"/>
      <c r="D5" s="890"/>
      <c r="E5" s="890"/>
      <c r="F5" s="890"/>
    </row>
    <row r="6" spans="1:10" s="11" customFormat="1" ht="18.75"/>
    <row r="7" spans="1:10" s="11" customFormat="1" ht="18.75">
      <c r="F7" s="38" t="s">
        <v>261</v>
      </c>
    </row>
    <row r="8" spans="1:10" s="11" customFormat="1" ht="43.5" customHeight="1">
      <c r="A8" s="98" t="s">
        <v>182</v>
      </c>
      <c r="B8" s="891" t="s">
        <v>149</v>
      </c>
      <c r="C8" s="892"/>
      <c r="D8" s="892"/>
      <c r="E8" s="893"/>
      <c r="F8" s="51" t="s">
        <v>33</v>
      </c>
      <c r="G8" s="52"/>
      <c r="H8" s="52"/>
      <c r="I8" s="52"/>
      <c r="J8" s="53"/>
    </row>
    <row r="9" spans="1:10" s="11" customFormat="1" ht="16.899999999999999" customHeight="1">
      <c r="A9" s="98">
        <v>1</v>
      </c>
      <c r="B9" s="891">
        <v>2</v>
      </c>
      <c r="C9" s="897"/>
      <c r="D9" s="897"/>
      <c r="E9" s="898"/>
      <c r="F9" s="51">
        <v>3</v>
      </c>
      <c r="G9" s="52"/>
      <c r="H9" s="52"/>
      <c r="I9" s="52"/>
      <c r="J9" s="53"/>
    </row>
    <row r="10" spans="1:10" s="11" customFormat="1" ht="18.75">
      <c r="A10" s="16">
        <v>1</v>
      </c>
      <c r="B10" s="54" t="s">
        <v>612</v>
      </c>
      <c r="C10" s="54"/>
      <c r="D10" s="54"/>
      <c r="E10" s="54"/>
      <c r="F10" s="55">
        <v>1131.5</v>
      </c>
      <c r="G10" s="52"/>
      <c r="H10" s="52"/>
      <c r="I10" s="52"/>
      <c r="J10" s="56"/>
    </row>
    <row r="11" spans="1:10" s="11" customFormat="1" ht="18.75">
      <c r="A11" s="16">
        <v>2</v>
      </c>
      <c r="B11" s="54" t="s">
        <v>282</v>
      </c>
      <c r="C11" s="54"/>
      <c r="D11" s="54"/>
      <c r="E11" s="54"/>
      <c r="F11" s="55">
        <v>827.5</v>
      </c>
      <c r="G11" s="52"/>
      <c r="H11" s="52"/>
      <c r="I11" s="52"/>
      <c r="J11" s="56"/>
    </row>
    <row r="12" spans="1:10" s="11" customFormat="1" ht="18.75">
      <c r="A12" s="16">
        <v>3</v>
      </c>
      <c r="B12" s="54" t="s">
        <v>283</v>
      </c>
      <c r="C12" s="54"/>
      <c r="D12" s="54"/>
      <c r="E12" s="54"/>
      <c r="F12" s="55">
        <v>159.80000000000001</v>
      </c>
      <c r="G12" s="52"/>
      <c r="H12" s="52"/>
      <c r="I12" s="52"/>
      <c r="J12" s="56"/>
    </row>
    <row r="13" spans="1:10" s="11" customFormat="1" ht="18.75">
      <c r="A13" s="16">
        <v>4</v>
      </c>
      <c r="B13" s="54" t="s">
        <v>284</v>
      </c>
      <c r="C13" s="54"/>
      <c r="D13" s="54"/>
      <c r="E13" s="54"/>
      <c r="F13" s="55">
        <v>556.1</v>
      </c>
      <c r="G13" s="52"/>
      <c r="H13" s="52"/>
      <c r="I13" s="52"/>
      <c r="J13" s="56"/>
    </row>
    <row r="14" spans="1:10" s="11" customFormat="1" ht="18.75">
      <c r="A14" s="16">
        <v>5</v>
      </c>
      <c r="B14" s="54" t="s">
        <v>375</v>
      </c>
      <c r="C14" s="54"/>
      <c r="D14" s="54"/>
      <c r="E14" s="54"/>
      <c r="F14" s="55">
        <v>462</v>
      </c>
      <c r="G14" s="52"/>
      <c r="H14" s="52"/>
      <c r="I14" s="52"/>
      <c r="J14" s="56"/>
    </row>
    <row r="15" spans="1:10" s="11" customFormat="1" ht="18.75">
      <c r="A15" s="16">
        <v>6</v>
      </c>
      <c r="B15" s="54" t="s">
        <v>285</v>
      </c>
      <c r="C15" s="54"/>
      <c r="D15" s="54"/>
      <c r="E15" s="54"/>
      <c r="F15" s="55">
        <v>196.2</v>
      </c>
      <c r="G15" s="52"/>
      <c r="H15" s="52"/>
      <c r="I15" s="52"/>
      <c r="J15" s="56"/>
    </row>
    <row r="16" spans="1:10" s="11" customFormat="1" ht="18.75">
      <c r="A16" s="16">
        <v>7</v>
      </c>
      <c r="B16" s="54" t="s">
        <v>286</v>
      </c>
      <c r="C16" s="54"/>
      <c r="D16" s="54"/>
      <c r="E16" s="54"/>
      <c r="F16" s="55">
        <v>487.5</v>
      </c>
      <c r="G16" s="52"/>
      <c r="H16" s="52"/>
      <c r="I16" s="52"/>
      <c r="J16" s="56"/>
    </row>
    <row r="17" spans="1:10" s="11" customFormat="1" ht="18.75">
      <c r="A17" s="16">
        <v>8</v>
      </c>
      <c r="B17" s="54" t="s">
        <v>287</v>
      </c>
      <c r="C17" s="54"/>
      <c r="D17" s="54"/>
      <c r="E17" s="54"/>
      <c r="F17" s="55">
        <v>420.4</v>
      </c>
      <c r="G17" s="52"/>
      <c r="H17" s="52"/>
      <c r="I17" s="52"/>
      <c r="J17" s="56"/>
    </row>
    <row r="18" spans="1:10" s="11" customFormat="1" ht="18.75">
      <c r="A18" s="16">
        <v>9</v>
      </c>
      <c r="B18" s="54" t="s">
        <v>288</v>
      </c>
      <c r="C18" s="54"/>
      <c r="D18" s="54"/>
      <c r="E18" s="54"/>
      <c r="F18" s="55">
        <v>895.9</v>
      </c>
      <c r="G18" s="52"/>
      <c r="H18" s="52"/>
      <c r="I18" s="52"/>
      <c r="J18" s="56"/>
    </row>
    <row r="19" spans="1:10" s="11" customFormat="1" ht="18.75">
      <c r="A19" s="16">
        <v>10</v>
      </c>
      <c r="B19" s="54" t="s">
        <v>289</v>
      </c>
      <c r="C19" s="54"/>
      <c r="D19" s="54"/>
      <c r="E19" s="54"/>
      <c r="F19" s="55">
        <v>363.1</v>
      </c>
      <c r="G19" s="52"/>
      <c r="H19" s="52"/>
      <c r="I19" s="52"/>
      <c r="J19" s="56"/>
    </row>
    <row r="20" spans="1:10" s="11" customFormat="1" ht="26.45" customHeight="1">
      <c r="A20" s="54"/>
      <c r="B20" s="894" t="s">
        <v>369</v>
      </c>
      <c r="C20" s="895"/>
      <c r="D20" s="895"/>
      <c r="E20" s="896"/>
      <c r="F20" s="57">
        <f>SUM(F10:F19)</f>
        <v>5500</v>
      </c>
      <c r="G20" s="52"/>
      <c r="H20" s="52"/>
      <c r="I20" s="52"/>
      <c r="J20" s="58"/>
    </row>
    <row r="21" spans="1:10" s="11" customFormat="1" ht="18.75">
      <c r="F21" s="13"/>
    </row>
    <row r="22" spans="1:10" s="11" customFormat="1" ht="18.75">
      <c r="F22" s="13"/>
    </row>
    <row r="23" spans="1:10" s="24" customFormat="1" ht="18.75">
      <c r="A23" s="90" t="s">
        <v>467</v>
      </c>
      <c r="B23" s="26"/>
      <c r="C23" s="27"/>
      <c r="D23" s="27"/>
      <c r="E23" s="27"/>
      <c r="F23" s="28"/>
      <c r="G23" s="29"/>
      <c r="H23" s="25"/>
    </row>
    <row r="24" spans="1:10" s="24" customFormat="1" ht="18.75">
      <c r="A24" s="90" t="s">
        <v>468</v>
      </c>
      <c r="B24" s="26"/>
      <c r="C24" s="27"/>
      <c r="D24" s="27"/>
      <c r="E24" s="27"/>
      <c r="F24" s="28"/>
      <c r="G24" s="29"/>
      <c r="H24" s="25"/>
    </row>
    <row r="25" spans="1:10" s="24" customFormat="1" ht="18.75">
      <c r="A25" s="91" t="s">
        <v>469</v>
      </c>
      <c r="D25" s="27"/>
      <c r="E25" s="27"/>
      <c r="F25" s="23" t="s">
        <v>494</v>
      </c>
    </row>
    <row r="26" spans="1:10" s="11" customFormat="1" ht="18.75">
      <c r="F26" s="13"/>
    </row>
    <row r="27" spans="1:10" s="11" customFormat="1" ht="18.75">
      <c r="F27" s="13"/>
    </row>
    <row r="28" spans="1:10" s="11" customFormat="1" ht="18.75">
      <c r="F28" s="13"/>
    </row>
    <row r="29" spans="1:10" s="11" customFormat="1" ht="18.75">
      <c r="F29" s="13"/>
    </row>
    <row r="30" spans="1:10" s="11" customFormat="1" ht="18.75">
      <c r="F30" s="59"/>
    </row>
    <row r="31" spans="1:10" s="11" customFormat="1" ht="18.75">
      <c r="F31" s="13"/>
    </row>
    <row r="32" spans="1:10" s="11" customFormat="1" ht="18.75">
      <c r="F32" s="13"/>
    </row>
    <row r="33" spans="1:6" s="11" customFormat="1" ht="18.75">
      <c r="A33" s="9"/>
      <c r="B33" s="9"/>
      <c r="C33" s="9"/>
      <c r="D33" s="9"/>
      <c r="F33" s="13"/>
    </row>
    <row r="34" spans="1:6" s="11" customFormat="1" ht="18.75">
      <c r="A34" s="9"/>
      <c r="B34" s="9"/>
      <c r="C34" s="9"/>
      <c r="D34" s="9"/>
      <c r="F34" s="38"/>
    </row>
  </sheetData>
  <mergeCells count="4">
    <mergeCell ref="A5:F5"/>
    <mergeCell ref="B8:E8"/>
    <mergeCell ref="B20:E20"/>
    <mergeCell ref="B9:E9"/>
  </mergeCells>
  <printOptions horizontalCentered="1"/>
  <pageMargins left="1.1811023622047245" right="0.39370078740157483" top="0.78740157480314965" bottom="0.78740157480314965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J35"/>
  <sheetViews>
    <sheetView workbookViewId="0">
      <selection activeCell="E1" sqref="E1"/>
    </sheetView>
  </sheetViews>
  <sheetFormatPr defaultColWidth="8.85546875" defaultRowHeight="12.75"/>
  <cols>
    <col min="1" max="1" width="7.42578125" style="102" customWidth="1"/>
    <col min="2" max="3" width="8.85546875" style="102"/>
    <col min="4" max="4" width="6.5703125" style="102" customWidth="1"/>
    <col min="5" max="5" width="24.7109375" style="102" customWidth="1"/>
    <col min="6" max="6" width="14.28515625" style="102" customWidth="1"/>
    <col min="7" max="7" width="13.5703125" style="102" customWidth="1"/>
    <col min="8" max="8" width="9.85546875" style="102" customWidth="1"/>
    <col min="9" max="9" width="8.85546875" style="102"/>
    <col min="10" max="10" width="11.85546875" style="102" bestFit="1" customWidth="1"/>
    <col min="11" max="16384" width="8.85546875" style="102"/>
  </cols>
  <sheetData>
    <row r="1" spans="1:10" ht="18" customHeight="1">
      <c r="G1" s="5" t="s">
        <v>574</v>
      </c>
    </row>
    <row r="2" spans="1:10" ht="16.149999999999999" customHeight="1">
      <c r="G2" s="496" t="s">
        <v>922</v>
      </c>
    </row>
    <row r="3" spans="1:10" ht="18" customHeight="1"/>
    <row r="4" spans="1:10" s="11" customFormat="1" ht="18.75">
      <c r="F4" s="13"/>
    </row>
    <row r="5" spans="1:10" s="11" customFormat="1" ht="59.25" customHeight="1">
      <c r="A5" s="890" t="s">
        <v>883</v>
      </c>
      <c r="B5" s="890"/>
      <c r="C5" s="890"/>
      <c r="D5" s="890"/>
      <c r="E5" s="890"/>
      <c r="F5" s="890"/>
      <c r="G5" s="890"/>
    </row>
    <row r="6" spans="1:10" s="11" customFormat="1" ht="18.75"/>
    <row r="7" spans="1:10" s="11" customFormat="1" ht="18.75">
      <c r="G7" s="38" t="s">
        <v>261</v>
      </c>
    </row>
    <row r="8" spans="1:10" s="11" customFormat="1" ht="18.75">
      <c r="A8" s="899" t="s">
        <v>182</v>
      </c>
      <c r="B8" s="899" t="s">
        <v>149</v>
      </c>
      <c r="C8" s="899"/>
      <c r="D8" s="899"/>
      <c r="E8" s="899"/>
      <c r="F8" s="887" t="s">
        <v>33</v>
      </c>
      <c r="G8" s="887"/>
    </row>
    <row r="9" spans="1:10" s="11" customFormat="1" ht="27.6" customHeight="1">
      <c r="A9" s="899"/>
      <c r="B9" s="899"/>
      <c r="C9" s="899"/>
      <c r="D9" s="899"/>
      <c r="E9" s="899"/>
      <c r="F9" s="43" t="s">
        <v>580</v>
      </c>
      <c r="G9" s="43" t="s">
        <v>776</v>
      </c>
      <c r="H9" s="52"/>
      <c r="I9" s="52"/>
      <c r="J9" s="53"/>
    </row>
    <row r="10" spans="1:10" s="11" customFormat="1" ht="16.899999999999999" customHeight="1">
      <c r="A10" s="98">
        <v>1</v>
      </c>
      <c r="B10" s="891">
        <v>2</v>
      </c>
      <c r="C10" s="897"/>
      <c r="D10" s="897"/>
      <c r="E10" s="898"/>
      <c r="F10" s="51">
        <v>3</v>
      </c>
      <c r="G10" s="51">
        <v>4</v>
      </c>
      <c r="H10" s="52"/>
      <c r="I10" s="52"/>
      <c r="J10" s="53"/>
    </row>
    <row r="11" spans="1:10" s="11" customFormat="1" ht="18.75">
      <c r="A11" s="16">
        <v>1</v>
      </c>
      <c r="B11" s="54" t="s">
        <v>612</v>
      </c>
      <c r="C11" s="54"/>
      <c r="D11" s="54"/>
      <c r="E11" s="54"/>
      <c r="F11" s="55">
        <v>821.4</v>
      </c>
      <c r="G11" s="55">
        <v>835.9</v>
      </c>
      <c r="H11" s="52"/>
      <c r="I11" s="52"/>
      <c r="J11" s="56"/>
    </row>
    <row r="12" spans="1:10" s="11" customFormat="1" ht="18.75">
      <c r="A12" s="16">
        <v>2</v>
      </c>
      <c r="B12" s="54" t="s">
        <v>282</v>
      </c>
      <c r="C12" s="54"/>
      <c r="D12" s="54"/>
      <c r="E12" s="54"/>
      <c r="F12" s="55">
        <v>953</v>
      </c>
      <c r="G12" s="55">
        <v>910.2</v>
      </c>
      <c r="H12" s="52"/>
      <c r="I12" s="52"/>
      <c r="J12" s="56"/>
    </row>
    <row r="13" spans="1:10" s="11" customFormat="1" ht="18.75">
      <c r="A13" s="16">
        <v>3</v>
      </c>
      <c r="B13" s="54" t="s">
        <v>283</v>
      </c>
      <c r="C13" s="54"/>
      <c r="D13" s="54"/>
      <c r="E13" s="54"/>
      <c r="F13" s="55">
        <v>273.8</v>
      </c>
      <c r="G13" s="55">
        <v>290</v>
      </c>
      <c r="H13" s="52"/>
      <c r="I13" s="52"/>
      <c r="J13" s="56"/>
    </row>
    <row r="14" spans="1:10" s="11" customFormat="1" ht="18.75">
      <c r="A14" s="16">
        <v>4</v>
      </c>
      <c r="B14" s="54" t="s">
        <v>284</v>
      </c>
      <c r="C14" s="54"/>
      <c r="D14" s="54"/>
      <c r="E14" s="54"/>
      <c r="F14" s="55">
        <v>507.6</v>
      </c>
      <c r="G14" s="55">
        <v>558.9</v>
      </c>
      <c r="H14" s="52"/>
      <c r="I14" s="52"/>
      <c r="J14" s="56"/>
    </row>
    <row r="15" spans="1:10" s="11" customFormat="1" ht="18.75">
      <c r="A15" s="16">
        <v>5</v>
      </c>
      <c r="B15" s="54" t="s">
        <v>375</v>
      </c>
      <c r="C15" s="54"/>
      <c r="D15" s="54"/>
      <c r="E15" s="54"/>
      <c r="F15" s="55">
        <v>296</v>
      </c>
      <c r="G15" s="55">
        <v>366.2</v>
      </c>
      <c r="H15" s="52"/>
      <c r="I15" s="52"/>
      <c r="J15" s="56"/>
    </row>
    <row r="16" spans="1:10" s="11" customFormat="1" ht="18.75">
      <c r="A16" s="16">
        <v>6</v>
      </c>
      <c r="B16" s="54" t="s">
        <v>285</v>
      </c>
      <c r="C16" s="54"/>
      <c r="D16" s="54"/>
      <c r="E16" s="54"/>
      <c r="F16" s="55">
        <v>117.8</v>
      </c>
      <c r="G16" s="55">
        <v>315.89999999999998</v>
      </c>
      <c r="H16" s="52"/>
      <c r="I16" s="52"/>
      <c r="J16" s="56"/>
    </row>
    <row r="17" spans="1:10" s="11" customFormat="1" ht="18.75">
      <c r="A17" s="16">
        <v>7</v>
      </c>
      <c r="B17" s="54" t="s">
        <v>286</v>
      </c>
      <c r="C17" s="54"/>
      <c r="D17" s="54"/>
      <c r="E17" s="54"/>
      <c r="F17" s="55">
        <v>634.20000000000005</v>
      </c>
      <c r="G17" s="55">
        <v>494.1</v>
      </c>
      <c r="H17" s="52"/>
      <c r="I17" s="52"/>
      <c r="J17" s="56"/>
    </row>
    <row r="18" spans="1:10" s="11" customFormat="1" ht="18.75">
      <c r="A18" s="16">
        <v>8</v>
      </c>
      <c r="B18" s="54" t="s">
        <v>287</v>
      </c>
      <c r="C18" s="54"/>
      <c r="D18" s="54"/>
      <c r="E18" s="54"/>
      <c r="F18" s="55">
        <v>365.3</v>
      </c>
      <c r="G18" s="55">
        <v>413.1</v>
      </c>
      <c r="H18" s="52"/>
      <c r="I18" s="52"/>
      <c r="J18" s="56"/>
    </row>
    <row r="19" spans="1:10" s="11" customFormat="1" ht="18.75">
      <c r="A19" s="16">
        <v>9</v>
      </c>
      <c r="B19" s="54" t="s">
        <v>288</v>
      </c>
      <c r="C19" s="54"/>
      <c r="D19" s="54"/>
      <c r="E19" s="54"/>
      <c r="F19" s="55">
        <v>1027.3</v>
      </c>
      <c r="G19" s="55">
        <v>897.5</v>
      </c>
      <c r="H19" s="52"/>
      <c r="I19" s="52"/>
      <c r="J19" s="56"/>
    </row>
    <row r="20" spans="1:10" s="11" customFormat="1" ht="18.75">
      <c r="A20" s="16">
        <v>10</v>
      </c>
      <c r="B20" s="54" t="s">
        <v>289</v>
      </c>
      <c r="C20" s="54"/>
      <c r="D20" s="54"/>
      <c r="E20" s="54"/>
      <c r="F20" s="55">
        <v>503.6</v>
      </c>
      <c r="G20" s="55">
        <v>418.2</v>
      </c>
      <c r="H20" s="52"/>
      <c r="I20" s="52"/>
      <c r="J20" s="56"/>
    </row>
    <row r="21" spans="1:10" s="11" customFormat="1" ht="26.45" customHeight="1">
      <c r="A21" s="54"/>
      <c r="B21" s="894" t="s">
        <v>369</v>
      </c>
      <c r="C21" s="895"/>
      <c r="D21" s="895"/>
      <c r="E21" s="896"/>
      <c r="F21" s="57">
        <f>SUM(F11:F20)</f>
        <v>5500.0000000000009</v>
      </c>
      <c r="G21" s="57">
        <f>SUM(G11:G20)</f>
        <v>5500</v>
      </c>
      <c r="H21" s="52"/>
      <c r="I21" s="52"/>
      <c r="J21" s="58"/>
    </row>
    <row r="22" spans="1:10" s="11" customFormat="1" ht="18.75">
      <c r="F22" s="13"/>
    </row>
    <row r="23" spans="1:10" s="11" customFormat="1" ht="18.75">
      <c r="F23" s="13"/>
    </row>
    <row r="24" spans="1:10" s="24" customFormat="1" ht="18.75">
      <c r="A24" s="90" t="s">
        <v>467</v>
      </c>
      <c r="B24" s="26"/>
      <c r="C24" s="27"/>
      <c r="D24" s="27"/>
      <c r="E24" s="27"/>
      <c r="F24" s="28"/>
      <c r="G24" s="29"/>
      <c r="H24" s="25"/>
    </row>
    <row r="25" spans="1:10" s="24" customFormat="1" ht="18.75">
      <c r="A25" s="90" t="s">
        <v>468</v>
      </c>
      <c r="B25" s="26"/>
      <c r="C25" s="27"/>
      <c r="D25" s="27"/>
      <c r="E25" s="27"/>
      <c r="F25" s="28"/>
      <c r="G25" s="29"/>
      <c r="H25" s="25"/>
    </row>
    <row r="26" spans="1:10" s="24" customFormat="1" ht="18.75">
      <c r="A26" s="91" t="s">
        <v>469</v>
      </c>
      <c r="D26" s="27"/>
      <c r="E26" s="27"/>
      <c r="G26" s="23" t="s">
        <v>494</v>
      </c>
    </row>
    <row r="27" spans="1:10" s="11" customFormat="1" ht="18.75">
      <c r="F27" s="13"/>
    </row>
    <row r="28" spans="1:10" s="11" customFormat="1" ht="18.75">
      <c r="F28" s="13"/>
    </row>
    <row r="29" spans="1:10" s="11" customFormat="1" ht="18.75">
      <c r="F29" s="13"/>
    </row>
    <row r="30" spans="1:10" s="11" customFormat="1" ht="18.75">
      <c r="F30" s="13"/>
    </row>
    <row r="31" spans="1:10" s="11" customFormat="1" ht="18.75">
      <c r="F31" s="59"/>
    </row>
    <row r="32" spans="1:10" s="11" customFormat="1" ht="18.75">
      <c r="F32" s="13"/>
    </row>
    <row r="33" spans="1:6" s="11" customFormat="1" ht="18.75">
      <c r="F33" s="13"/>
    </row>
    <row r="34" spans="1:6" s="11" customFormat="1" ht="18.75">
      <c r="A34" s="9"/>
      <c r="B34" s="9"/>
      <c r="C34" s="9"/>
      <c r="D34" s="9"/>
      <c r="F34" s="13"/>
    </row>
    <row r="35" spans="1:6" s="11" customFormat="1" ht="18.75">
      <c r="A35" s="9"/>
      <c r="B35" s="9"/>
      <c r="C35" s="9"/>
      <c r="D35" s="9"/>
      <c r="F35" s="38"/>
    </row>
  </sheetData>
  <mergeCells count="6">
    <mergeCell ref="B10:E10"/>
    <mergeCell ref="B21:E21"/>
    <mergeCell ref="A5:G5"/>
    <mergeCell ref="F8:G8"/>
    <mergeCell ref="A8:A9"/>
    <mergeCell ref="B8:E9"/>
  </mergeCells>
  <printOptions horizontalCentered="1"/>
  <pageMargins left="1.1811023622047245" right="0.39370078740157483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H133"/>
  <sheetViews>
    <sheetView zoomScale="80" zoomScaleNormal="80" zoomScaleSheetLayoutView="50" workbookViewId="0">
      <selection activeCell="C2" sqref="C2"/>
    </sheetView>
  </sheetViews>
  <sheetFormatPr defaultColWidth="9.140625" defaultRowHeight="18.75"/>
  <cols>
    <col min="1" max="1" width="29.5703125" style="517" customWidth="1"/>
    <col min="2" max="2" width="60.140625" style="748" customWidth="1"/>
    <col min="3" max="3" width="15.5703125" style="515" customWidth="1"/>
    <col min="4" max="16384" width="9.140625" style="517"/>
  </cols>
  <sheetData>
    <row r="1" spans="1:5">
      <c r="C1" s="201" t="s">
        <v>408</v>
      </c>
    </row>
    <row r="2" spans="1:5">
      <c r="C2" s="445" t="s">
        <v>1017</v>
      </c>
    </row>
    <row r="4" spans="1:5">
      <c r="C4" s="201" t="s">
        <v>376</v>
      </c>
    </row>
    <row r="5" spans="1:5">
      <c r="C5" s="496" t="s">
        <v>922</v>
      </c>
    </row>
    <row r="6" spans="1:5" ht="12.75" customHeight="1"/>
    <row r="7" spans="1:5" ht="11.25" customHeight="1"/>
    <row r="8" spans="1:5" ht="36" customHeight="1">
      <c r="A8" s="816" t="s">
        <v>779</v>
      </c>
      <c r="B8" s="816"/>
      <c r="C8" s="816"/>
    </row>
    <row r="10" spans="1:5">
      <c r="C10" s="509" t="s">
        <v>42</v>
      </c>
    </row>
    <row r="11" spans="1:5" ht="20.45" customHeight="1">
      <c r="A11" s="749" t="s">
        <v>31</v>
      </c>
      <c r="B11" s="750" t="s">
        <v>32</v>
      </c>
      <c r="C11" s="510" t="s">
        <v>33</v>
      </c>
    </row>
    <row r="12" spans="1:5">
      <c r="A12" s="749">
        <v>1</v>
      </c>
      <c r="B12" s="750">
        <v>2</v>
      </c>
      <c r="C12" s="511">
        <v>3</v>
      </c>
    </row>
    <row r="13" spans="1:5">
      <c r="A13" s="250" t="s">
        <v>156</v>
      </c>
      <c r="B13" s="251" t="s">
        <v>157</v>
      </c>
      <c r="C13" s="252">
        <f>SUM(C14:C32)-C23</f>
        <v>453235</v>
      </c>
      <c r="E13" s="751"/>
    </row>
    <row r="14" spans="1:5">
      <c r="A14" s="200" t="s">
        <v>158</v>
      </c>
      <c r="B14" s="230" t="s">
        <v>159</v>
      </c>
      <c r="C14" s="253">
        <v>5000</v>
      </c>
      <c r="E14" s="559"/>
    </row>
    <row r="15" spans="1:5">
      <c r="A15" s="217" t="s">
        <v>160</v>
      </c>
      <c r="B15" s="254" t="s">
        <v>161</v>
      </c>
      <c r="C15" s="253">
        <v>336422.5</v>
      </c>
      <c r="E15" s="559"/>
    </row>
    <row r="16" spans="1:5" ht="173.25" customHeight="1">
      <c r="A16" s="197" t="s">
        <v>162</v>
      </c>
      <c r="B16" s="262" t="s">
        <v>830</v>
      </c>
      <c r="C16" s="253">
        <v>5728.2</v>
      </c>
      <c r="E16" s="559"/>
    </row>
    <row r="17" spans="1:5" ht="37.5">
      <c r="A17" s="200" t="s">
        <v>365</v>
      </c>
      <c r="B17" s="231" t="s">
        <v>366</v>
      </c>
      <c r="C17" s="253">
        <v>57050</v>
      </c>
      <c r="E17" s="559"/>
    </row>
    <row r="18" spans="1:5" ht="37.5">
      <c r="A18" s="200" t="s">
        <v>163</v>
      </c>
      <c r="B18" s="231" t="s">
        <v>392</v>
      </c>
      <c r="C18" s="253">
        <v>3800</v>
      </c>
      <c r="E18" s="559"/>
    </row>
    <row r="19" spans="1:5">
      <c r="A19" s="200" t="s">
        <v>164</v>
      </c>
      <c r="B19" s="254" t="s">
        <v>165</v>
      </c>
      <c r="C19" s="253">
        <v>105</v>
      </c>
      <c r="E19" s="559"/>
    </row>
    <row r="20" spans="1:5" ht="37.5">
      <c r="A20" s="200" t="s">
        <v>166</v>
      </c>
      <c r="B20" s="231" t="s">
        <v>167</v>
      </c>
      <c r="C20" s="253">
        <v>200</v>
      </c>
      <c r="E20" s="559"/>
    </row>
    <row r="21" spans="1:5">
      <c r="A21" s="200" t="s">
        <v>680</v>
      </c>
      <c r="B21" s="231" t="s">
        <v>681</v>
      </c>
      <c r="C21" s="253">
        <v>3600</v>
      </c>
      <c r="E21" s="559"/>
    </row>
    <row r="22" spans="1:5">
      <c r="A22" s="200" t="s">
        <v>168</v>
      </c>
      <c r="B22" s="254" t="s">
        <v>169</v>
      </c>
      <c r="C22" s="253">
        <v>9240</v>
      </c>
      <c r="E22" s="559"/>
    </row>
    <row r="23" spans="1:5" ht="62.25" customHeight="1">
      <c r="A23" s="200" t="s">
        <v>914</v>
      </c>
      <c r="B23" s="231" t="s">
        <v>915</v>
      </c>
      <c r="C23" s="253">
        <f>C24+C25+C26+C27+C28</f>
        <v>24445</v>
      </c>
      <c r="E23" s="559"/>
    </row>
    <row r="24" spans="1:5" ht="78" customHeight="1">
      <c r="A24" s="200" t="s">
        <v>170</v>
      </c>
      <c r="B24" s="255" t="s">
        <v>916</v>
      </c>
      <c r="C24" s="253">
        <v>31</v>
      </c>
      <c r="E24" s="559"/>
    </row>
    <row r="25" spans="1:5" ht="99" customHeight="1">
      <c r="A25" s="200" t="s">
        <v>171</v>
      </c>
      <c r="B25" s="231" t="s">
        <v>917</v>
      </c>
      <c r="C25" s="253">
        <v>23124</v>
      </c>
      <c r="E25" s="559"/>
    </row>
    <row r="26" spans="1:5" ht="63" customHeight="1">
      <c r="A26" s="200" t="s">
        <v>362</v>
      </c>
      <c r="B26" s="231" t="s">
        <v>918</v>
      </c>
      <c r="C26" s="253">
        <v>1156</v>
      </c>
      <c r="E26" s="559"/>
    </row>
    <row r="27" spans="1:5" ht="87.6" customHeight="1">
      <c r="A27" s="200" t="s">
        <v>172</v>
      </c>
      <c r="B27" s="231" t="s">
        <v>919</v>
      </c>
      <c r="C27" s="253">
        <v>10</v>
      </c>
      <c r="E27" s="559"/>
    </row>
    <row r="28" spans="1:5" ht="122.25" customHeight="1">
      <c r="A28" s="200" t="s">
        <v>421</v>
      </c>
      <c r="B28" s="231" t="s">
        <v>920</v>
      </c>
      <c r="C28" s="253">
        <v>124</v>
      </c>
      <c r="E28" s="559"/>
    </row>
    <row r="29" spans="1:5" ht="37.5">
      <c r="A29" s="200" t="s">
        <v>173</v>
      </c>
      <c r="B29" s="231" t="s">
        <v>174</v>
      </c>
      <c r="C29" s="253">
        <v>276</v>
      </c>
      <c r="E29" s="559"/>
    </row>
    <row r="30" spans="1:5" ht="37.5">
      <c r="A30" s="200" t="s">
        <v>492</v>
      </c>
      <c r="B30" s="578" t="s">
        <v>565</v>
      </c>
      <c r="C30" s="253">
        <v>1458.3</v>
      </c>
      <c r="E30" s="559"/>
    </row>
    <row r="31" spans="1:5" ht="37.5">
      <c r="A31" s="200" t="s">
        <v>175</v>
      </c>
      <c r="B31" s="231" t="s">
        <v>176</v>
      </c>
      <c r="C31" s="253">
        <v>5735</v>
      </c>
      <c r="E31" s="559"/>
    </row>
    <row r="32" spans="1:5" ht="22.5" customHeight="1">
      <c r="A32" s="197" t="s">
        <v>177</v>
      </c>
      <c r="B32" s="231" t="s">
        <v>178</v>
      </c>
      <c r="C32" s="253">
        <v>175</v>
      </c>
      <c r="E32" s="559"/>
    </row>
    <row r="33" spans="1:8">
      <c r="A33" s="314" t="s">
        <v>34</v>
      </c>
      <c r="B33" s="624" t="s">
        <v>367</v>
      </c>
      <c r="C33" s="512">
        <f>C34+C39</f>
        <v>1110606.487</v>
      </c>
    </row>
    <row r="34" spans="1:8" ht="40.5" customHeight="1">
      <c r="A34" s="291" t="s">
        <v>35</v>
      </c>
      <c r="B34" s="626" t="s">
        <v>36</v>
      </c>
      <c r="C34" s="513">
        <f>C35+C36+C37+C38</f>
        <v>1110579.5</v>
      </c>
    </row>
    <row r="35" spans="1:8" s="628" customFormat="1" ht="37.5">
      <c r="A35" s="291" t="s">
        <v>554</v>
      </c>
      <c r="B35" s="627" t="s">
        <v>413</v>
      </c>
      <c r="C35" s="513">
        <f>'прил.4 (пост.безв.21)'!C15</f>
        <v>206489.1</v>
      </c>
    </row>
    <row r="36" spans="1:8" s="628" customFormat="1" ht="45.75" customHeight="1">
      <c r="A36" s="151" t="s">
        <v>556</v>
      </c>
      <c r="B36" s="579" t="s">
        <v>359</v>
      </c>
      <c r="C36" s="513">
        <f>'прил.4 (пост.безв.21)'!C18</f>
        <v>67028.2</v>
      </c>
    </row>
    <row r="37" spans="1:8" ht="37.5">
      <c r="A37" s="752" t="s">
        <v>558</v>
      </c>
      <c r="B37" s="627" t="s">
        <v>412</v>
      </c>
      <c r="C37" s="513">
        <f>'прил.4 (пост.безв.21)'!C31</f>
        <v>790354.39999999991</v>
      </c>
    </row>
    <row r="38" spans="1:8">
      <c r="A38" s="291" t="s">
        <v>579</v>
      </c>
      <c r="B38" s="626" t="s">
        <v>179</v>
      </c>
      <c r="C38" s="513">
        <f>'прил.6 (безв.от пос.21) (2)'!C13+'прил.4 (пост.безв.21)'!C67</f>
        <v>46707.799999999996</v>
      </c>
    </row>
    <row r="39" spans="1:8" ht="93.75">
      <c r="A39" s="778" t="s">
        <v>595</v>
      </c>
      <c r="B39" s="779" t="s">
        <v>456</v>
      </c>
      <c r="C39" s="777">
        <v>26.986999999999998</v>
      </c>
    </row>
    <row r="40" spans="1:8">
      <c r="A40" s="753"/>
      <c r="B40" s="624" t="s">
        <v>180</v>
      </c>
      <c r="C40" s="514">
        <f>C33+C13</f>
        <v>1563841.487</v>
      </c>
    </row>
    <row r="41" spans="1:8" ht="60.6" customHeight="1">
      <c r="A41" s="817" t="s">
        <v>368</v>
      </c>
      <c r="B41" s="817"/>
      <c r="C41" s="817"/>
    </row>
    <row r="42" spans="1:8">
      <c r="A42" s="754"/>
    </row>
    <row r="43" spans="1:8">
      <c r="A43" s="754"/>
    </row>
    <row r="44" spans="1:8" s="280" customFormat="1">
      <c r="A44" s="375" t="s">
        <v>467</v>
      </c>
      <c r="B44" s="283"/>
      <c r="C44" s="284"/>
      <c r="D44" s="284"/>
      <c r="E44" s="284"/>
      <c r="F44" s="207"/>
      <c r="G44" s="374"/>
      <c r="H44" s="435"/>
    </row>
    <row r="45" spans="1:8" s="280" customFormat="1">
      <c r="A45" s="375" t="s">
        <v>468</v>
      </c>
      <c r="B45" s="283"/>
      <c r="C45" s="284"/>
      <c r="D45" s="284"/>
      <c r="E45" s="284"/>
      <c r="F45" s="207"/>
      <c r="G45" s="374"/>
      <c r="H45" s="435"/>
    </row>
    <row r="46" spans="1:8" s="280" customFormat="1">
      <c r="A46" s="376" t="s">
        <v>469</v>
      </c>
      <c r="B46" s="283"/>
      <c r="C46" s="377" t="s">
        <v>494</v>
      </c>
      <c r="D46" s="284"/>
      <c r="E46" s="284"/>
      <c r="F46" s="207"/>
    </row>
    <row r="48" spans="1:8">
      <c r="B48" s="755"/>
      <c r="C48" s="516"/>
    </row>
    <row r="49" spans="2:3">
      <c r="B49" s="755"/>
      <c r="C49" s="516"/>
    </row>
    <row r="56" spans="2:3">
      <c r="B56" s="517"/>
      <c r="C56" s="517"/>
    </row>
    <row r="57" spans="2:3">
      <c r="B57" s="517"/>
      <c r="C57" s="517"/>
    </row>
    <row r="58" spans="2:3">
      <c r="B58" s="517"/>
      <c r="C58" s="517"/>
    </row>
    <row r="59" spans="2:3">
      <c r="B59" s="517"/>
      <c r="C59" s="517"/>
    </row>
    <row r="60" spans="2:3">
      <c r="B60" s="517"/>
      <c r="C60" s="517"/>
    </row>
    <row r="61" spans="2:3">
      <c r="B61" s="517"/>
      <c r="C61" s="517"/>
    </row>
    <row r="62" spans="2:3">
      <c r="B62" s="517"/>
      <c r="C62" s="517"/>
    </row>
    <row r="63" spans="2:3">
      <c r="B63" s="517"/>
      <c r="C63" s="517"/>
    </row>
    <row r="64" spans="2:3">
      <c r="B64" s="517"/>
      <c r="C64" s="517"/>
    </row>
    <row r="65" spans="2:3">
      <c r="B65" s="517"/>
      <c r="C65" s="517"/>
    </row>
    <row r="66" spans="2:3">
      <c r="B66" s="517"/>
      <c r="C66" s="517"/>
    </row>
    <row r="67" spans="2:3">
      <c r="B67" s="517"/>
      <c r="C67" s="517"/>
    </row>
    <row r="68" spans="2:3">
      <c r="B68" s="517"/>
      <c r="C68" s="517"/>
    </row>
    <row r="69" spans="2:3">
      <c r="B69" s="517"/>
      <c r="C69" s="517"/>
    </row>
    <row r="70" spans="2:3">
      <c r="B70" s="517"/>
      <c r="C70" s="517"/>
    </row>
    <row r="71" spans="2:3">
      <c r="B71" s="517"/>
      <c r="C71" s="517"/>
    </row>
    <row r="72" spans="2:3">
      <c r="B72" s="517"/>
      <c r="C72" s="517"/>
    </row>
    <row r="73" spans="2:3">
      <c r="B73" s="517"/>
      <c r="C73" s="517"/>
    </row>
    <row r="74" spans="2:3">
      <c r="B74" s="517"/>
      <c r="C74" s="517"/>
    </row>
    <row r="75" spans="2:3">
      <c r="B75" s="517"/>
      <c r="C75" s="517"/>
    </row>
    <row r="76" spans="2:3">
      <c r="B76" s="517"/>
      <c r="C76" s="517"/>
    </row>
    <row r="77" spans="2:3">
      <c r="B77" s="517"/>
      <c r="C77" s="517"/>
    </row>
    <row r="78" spans="2:3">
      <c r="B78" s="517"/>
      <c r="C78" s="517"/>
    </row>
    <row r="79" spans="2:3">
      <c r="B79" s="517"/>
      <c r="C79" s="517"/>
    </row>
    <row r="80" spans="2:3">
      <c r="B80" s="517"/>
      <c r="C80" s="517"/>
    </row>
    <row r="81" spans="2:3">
      <c r="B81" s="517"/>
      <c r="C81" s="517"/>
    </row>
    <row r="82" spans="2:3">
      <c r="B82" s="517"/>
      <c r="C82" s="517"/>
    </row>
    <row r="83" spans="2:3">
      <c r="B83" s="517"/>
      <c r="C83" s="517"/>
    </row>
    <row r="84" spans="2:3">
      <c r="B84" s="517"/>
      <c r="C84" s="517"/>
    </row>
    <row r="85" spans="2:3">
      <c r="B85" s="517"/>
      <c r="C85" s="517"/>
    </row>
    <row r="86" spans="2:3">
      <c r="B86" s="517"/>
      <c r="C86" s="517"/>
    </row>
    <row r="87" spans="2:3">
      <c r="B87" s="517"/>
      <c r="C87" s="517"/>
    </row>
    <row r="88" spans="2:3">
      <c r="B88" s="517"/>
      <c r="C88" s="517"/>
    </row>
    <row r="89" spans="2:3">
      <c r="B89" s="517"/>
      <c r="C89" s="517"/>
    </row>
    <row r="90" spans="2:3">
      <c r="B90" s="517"/>
      <c r="C90" s="517"/>
    </row>
    <row r="91" spans="2:3">
      <c r="B91" s="517"/>
      <c r="C91" s="517"/>
    </row>
    <row r="92" spans="2:3">
      <c r="B92" s="517"/>
      <c r="C92" s="517"/>
    </row>
    <row r="93" spans="2:3">
      <c r="B93" s="517"/>
      <c r="C93" s="517"/>
    </row>
    <row r="94" spans="2:3">
      <c r="B94" s="517"/>
      <c r="C94" s="517"/>
    </row>
    <row r="95" spans="2:3">
      <c r="B95" s="517"/>
      <c r="C95" s="517"/>
    </row>
    <row r="96" spans="2:3">
      <c r="B96" s="517"/>
      <c r="C96" s="517"/>
    </row>
    <row r="97" spans="2:3">
      <c r="B97" s="517"/>
      <c r="C97" s="517"/>
    </row>
    <row r="98" spans="2:3">
      <c r="B98" s="517"/>
      <c r="C98" s="517"/>
    </row>
    <row r="99" spans="2:3">
      <c r="B99" s="517"/>
      <c r="C99" s="517"/>
    </row>
    <row r="100" spans="2:3">
      <c r="B100" s="517"/>
      <c r="C100" s="517"/>
    </row>
    <row r="101" spans="2:3">
      <c r="B101" s="517"/>
      <c r="C101" s="517"/>
    </row>
    <row r="102" spans="2:3">
      <c r="B102" s="517"/>
      <c r="C102" s="517"/>
    </row>
    <row r="103" spans="2:3">
      <c r="B103" s="517"/>
      <c r="C103" s="517"/>
    </row>
    <row r="104" spans="2:3">
      <c r="B104" s="517"/>
      <c r="C104" s="517"/>
    </row>
    <row r="105" spans="2:3">
      <c r="B105" s="517"/>
      <c r="C105" s="517"/>
    </row>
    <row r="106" spans="2:3">
      <c r="B106" s="517"/>
      <c r="C106" s="517"/>
    </row>
    <row r="107" spans="2:3">
      <c r="B107" s="517"/>
      <c r="C107" s="517"/>
    </row>
    <row r="108" spans="2:3">
      <c r="B108" s="517"/>
      <c r="C108" s="517"/>
    </row>
    <row r="109" spans="2:3">
      <c r="B109" s="517"/>
      <c r="C109" s="517"/>
    </row>
    <row r="110" spans="2:3">
      <c r="B110" s="517"/>
      <c r="C110" s="517"/>
    </row>
    <row r="111" spans="2:3">
      <c r="B111" s="517"/>
      <c r="C111" s="517"/>
    </row>
    <row r="112" spans="2:3">
      <c r="B112" s="517"/>
      <c r="C112" s="517"/>
    </row>
    <row r="113" spans="2:3">
      <c r="B113" s="517"/>
      <c r="C113" s="517"/>
    </row>
    <row r="114" spans="2:3">
      <c r="B114" s="517"/>
      <c r="C114" s="517"/>
    </row>
    <row r="115" spans="2:3">
      <c r="B115" s="517"/>
      <c r="C115" s="517"/>
    </row>
    <row r="116" spans="2:3">
      <c r="B116" s="517"/>
      <c r="C116" s="517"/>
    </row>
    <row r="117" spans="2:3">
      <c r="B117" s="517"/>
      <c r="C117" s="517"/>
    </row>
    <row r="118" spans="2:3">
      <c r="B118" s="517"/>
      <c r="C118" s="517"/>
    </row>
    <row r="119" spans="2:3">
      <c r="B119" s="517"/>
      <c r="C119" s="517"/>
    </row>
    <row r="120" spans="2:3">
      <c r="B120" s="517"/>
      <c r="C120" s="517"/>
    </row>
    <row r="121" spans="2:3">
      <c r="B121" s="517"/>
      <c r="C121" s="517"/>
    </row>
    <row r="122" spans="2:3">
      <c r="B122" s="517"/>
      <c r="C122" s="517"/>
    </row>
    <row r="123" spans="2:3">
      <c r="B123" s="517"/>
      <c r="C123" s="517"/>
    </row>
    <row r="124" spans="2:3">
      <c r="B124" s="517"/>
      <c r="C124" s="517"/>
    </row>
    <row r="125" spans="2:3">
      <c r="B125" s="517"/>
      <c r="C125" s="517"/>
    </row>
    <row r="126" spans="2:3">
      <c r="B126" s="517"/>
      <c r="C126" s="517"/>
    </row>
    <row r="127" spans="2:3">
      <c r="B127" s="517"/>
      <c r="C127" s="517"/>
    </row>
    <row r="128" spans="2:3">
      <c r="B128" s="517"/>
      <c r="C128" s="517"/>
    </row>
    <row r="129" spans="2:3">
      <c r="B129" s="517"/>
      <c r="C129" s="517"/>
    </row>
    <row r="130" spans="2:3">
      <c r="B130" s="517"/>
      <c r="C130" s="517"/>
    </row>
    <row r="131" spans="2:3">
      <c r="B131" s="517"/>
      <c r="C131" s="517"/>
    </row>
    <row r="132" spans="2:3">
      <c r="B132" s="517"/>
      <c r="C132" s="517"/>
    </row>
    <row r="133" spans="2:3">
      <c r="B133" s="517"/>
      <c r="C133" s="517"/>
    </row>
  </sheetData>
  <mergeCells count="2">
    <mergeCell ref="A8:C8"/>
    <mergeCell ref="A41:C41"/>
  </mergeCells>
  <printOptions horizontalCentered="1"/>
  <pageMargins left="1.1811023622047245" right="0.39370078740157483" top="0.78740157480314965" bottom="0.78740157480314965" header="0.39370078740157483" footer="0.39370078740157483"/>
  <pageSetup paperSize="9" scale="81" fitToHeight="0" orientation="portrait" blackAndWhite="1" errors="blank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H35"/>
  <sheetViews>
    <sheetView zoomScale="90" zoomScaleNormal="90" zoomScaleSheetLayoutView="75" workbookViewId="0">
      <selection activeCell="H9" sqref="H9"/>
    </sheetView>
  </sheetViews>
  <sheetFormatPr defaultColWidth="9.140625" defaultRowHeight="18.75"/>
  <cols>
    <col min="1" max="1" width="4.85546875" style="19" customWidth="1"/>
    <col min="2" max="2" width="76" style="50" customWidth="1"/>
    <col min="3" max="3" width="12" style="50" customWidth="1"/>
    <col min="4" max="4" width="12.5703125" style="19" customWidth="1"/>
    <col min="5" max="16384" width="9.140625" style="19"/>
  </cols>
  <sheetData>
    <row r="1" spans="1:8" s="608" customFormat="1">
      <c r="D1" s="201" t="s">
        <v>575</v>
      </c>
    </row>
    <row r="2" spans="1:8" s="608" customFormat="1">
      <c r="D2" s="201" t="s">
        <v>1017</v>
      </c>
    </row>
    <row r="4" spans="1:8">
      <c r="D4" s="1" t="s">
        <v>575</v>
      </c>
    </row>
    <row r="5" spans="1:8">
      <c r="D5" s="496" t="s">
        <v>922</v>
      </c>
    </row>
    <row r="6" spans="1:8" s="30" customFormat="1" ht="17.45" customHeight="1">
      <c r="A6" s="19"/>
      <c r="B6" s="19"/>
      <c r="C6" s="19"/>
    </row>
    <row r="8" spans="1:8" s="111" customFormat="1">
      <c r="A8" s="902" t="s">
        <v>682</v>
      </c>
      <c r="B8" s="903"/>
      <c r="C8" s="903"/>
      <c r="D8" s="903"/>
    </row>
    <row r="9" spans="1:8" s="111" customFormat="1" ht="20.45" customHeight="1">
      <c r="A9" s="904" t="s">
        <v>839</v>
      </c>
      <c r="B9" s="905"/>
      <c r="C9" s="905"/>
      <c r="D9" s="905"/>
    </row>
    <row r="10" spans="1:8" s="111" customFormat="1">
      <c r="A10" s="112"/>
      <c r="B10" s="113"/>
      <c r="C10" s="113"/>
    </row>
    <row r="11" spans="1:8" s="111" customFormat="1" ht="36" customHeight="1">
      <c r="A11" s="906" t="s">
        <v>790</v>
      </c>
      <c r="B11" s="907"/>
      <c r="C11" s="907"/>
      <c r="D11" s="907"/>
    </row>
    <row r="12" spans="1:8" s="111" customFormat="1">
      <c r="A12" s="112"/>
      <c r="B12" s="113"/>
      <c r="C12" s="113"/>
    </row>
    <row r="13" spans="1:8" s="111" customFormat="1">
      <c r="A13" s="112"/>
      <c r="B13" s="113"/>
      <c r="C13" s="113"/>
      <c r="D13" s="114" t="s">
        <v>279</v>
      </c>
    </row>
    <row r="14" spans="1:8" s="111" customFormat="1" ht="37.5">
      <c r="A14" s="115" t="s">
        <v>280</v>
      </c>
      <c r="B14" s="116" t="s">
        <v>449</v>
      </c>
      <c r="C14" s="117"/>
      <c r="D14" s="117" t="s">
        <v>290</v>
      </c>
    </row>
    <row r="15" spans="1:8" s="111" customFormat="1">
      <c r="A15" s="115">
        <v>1</v>
      </c>
      <c r="B15" s="115">
        <v>2</v>
      </c>
      <c r="C15" s="118"/>
      <c r="D15" s="117">
        <v>3</v>
      </c>
    </row>
    <row r="16" spans="1:8" s="111" customFormat="1" ht="56.25">
      <c r="A16" s="908" t="s">
        <v>281</v>
      </c>
      <c r="B16" s="119" t="s">
        <v>831</v>
      </c>
      <c r="C16" s="120"/>
      <c r="D16" s="138">
        <f>D18-D19</f>
        <v>-6816</v>
      </c>
      <c r="F16" s="121"/>
      <c r="G16" s="121"/>
      <c r="H16" s="121"/>
    </row>
    <row r="17" spans="1:8" s="111" customFormat="1">
      <c r="A17" s="909"/>
      <c r="B17" s="122" t="s">
        <v>184</v>
      </c>
      <c r="C17" s="123"/>
      <c r="D17" s="139"/>
      <c r="F17" s="121"/>
      <c r="G17" s="121"/>
      <c r="H17" s="121"/>
    </row>
    <row r="18" spans="1:8" s="111" customFormat="1">
      <c r="A18" s="909"/>
      <c r="B18" s="122" t="s">
        <v>832</v>
      </c>
      <c r="C18" s="123"/>
      <c r="D18" s="139">
        <v>0</v>
      </c>
      <c r="F18" s="124"/>
      <c r="G18" s="124"/>
      <c r="H18" s="121"/>
    </row>
    <row r="19" spans="1:8" s="111" customFormat="1">
      <c r="A19" s="909"/>
      <c r="B19" s="125" t="s">
        <v>291</v>
      </c>
      <c r="C19" s="126"/>
      <c r="D19" s="265">
        <v>6816</v>
      </c>
    </row>
    <row r="20" spans="1:8" s="111" customFormat="1">
      <c r="B20" s="190"/>
      <c r="C20" s="190"/>
      <c r="D20" s="127"/>
    </row>
    <row r="21" spans="1:8" s="111" customFormat="1" ht="42" customHeight="1">
      <c r="A21" s="910" t="s">
        <v>789</v>
      </c>
      <c r="B21" s="911"/>
      <c r="C21" s="911"/>
      <c r="D21" s="911"/>
    </row>
    <row r="22" spans="1:8" s="111" customFormat="1">
      <c r="A22" s="112"/>
      <c r="B22" s="113"/>
      <c r="C22" s="113"/>
    </row>
    <row r="23" spans="1:8" s="111" customFormat="1">
      <c r="A23" s="112"/>
      <c r="B23" s="113"/>
      <c r="C23" s="113"/>
      <c r="D23" s="114" t="s">
        <v>279</v>
      </c>
    </row>
    <row r="24" spans="1:8" s="111" customFormat="1" ht="21.6" customHeight="1">
      <c r="A24" s="912" t="s">
        <v>280</v>
      </c>
      <c r="B24" s="912" t="s">
        <v>449</v>
      </c>
      <c r="C24" s="900" t="s">
        <v>290</v>
      </c>
      <c r="D24" s="900"/>
    </row>
    <row r="25" spans="1:8" s="111" customFormat="1" ht="25.15" customHeight="1">
      <c r="A25" s="912"/>
      <c r="B25" s="912"/>
      <c r="C25" s="191" t="s">
        <v>580</v>
      </c>
      <c r="D25" s="191" t="s">
        <v>776</v>
      </c>
    </row>
    <row r="26" spans="1:8" s="111" customFormat="1">
      <c r="A26" s="191">
        <v>1</v>
      </c>
      <c r="B26" s="191">
        <v>2</v>
      </c>
      <c r="C26" s="191">
        <v>3</v>
      </c>
      <c r="D26" s="191">
        <v>4</v>
      </c>
    </row>
    <row r="27" spans="1:8" s="111" customFormat="1" ht="56.25" customHeight="1">
      <c r="A27" s="901" t="s">
        <v>281</v>
      </c>
      <c r="B27" s="128" t="s">
        <v>831</v>
      </c>
      <c r="C27" s="138">
        <f>C29-C30</f>
        <v>-10224</v>
      </c>
      <c r="D27" s="266">
        <f>D29-D30</f>
        <v>0</v>
      </c>
    </row>
    <row r="28" spans="1:8" s="111" customFormat="1" ht="17.100000000000001" customHeight="1">
      <c r="A28" s="901"/>
      <c r="B28" s="129" t="s">
        <v>184</v>
      </c>
      <c r="C28" s="139"/>
      <c r="D28" s="267"/>
    </row>
    <row r="29" spans="1:8" s="111" customFormat="1" ht="17.100000000000001" customHeight="1">
      <c r="A29" s="901"/>
      <c r="B29" s="129" t="s">
        <v>832</v>
      </c>
      <c r="C29" s="139">
        <v>0</v>
      </c>
      <c r="D29" s="267">
        <v>0</v>
      </c>
    </row>
    <row r="30" spans="1:8" s="111" customFormat="1" ht="18" customHeight="1">
      <c r="A30" s="901"/>
      <c r="B30" s="130" t="s">
        <v>291</v>
      </c>
      <c r="C30" s="140">
        <v>10224</v>
      </c>
      <c r="D30" s="268">
        <v>0</v>
      </c>
    </row>
    <row r="31" spans="1:8" ht="16.5" customHeight="1">
      <c r="A31" s="99"/>
      <c r="B31" s="100"/>
      <c r="C31" s="100"/>
      <c r="D31" s="101"/>
    </row>
    <row r="33" spans="1:8" s="24" customFormat="1">
      <c r="A33" s="90" t="s">
        <v>467</v>
      </c>
      <c r="B33" s="26"/>
      <c r="C33" s="27"/>
      <c r="D33" s="27"/>
      <c r="E33" s="27"/>
      <c r="F33" s="28"/>
      <c r="G33" s="29"/>
      <c r="H33" s="25"/>
    </row>
    <row r="34" spans="1:8" s="24" customFormat="1">
      <c r="A34" s="90" t="s">
        <v>468</v>
      </c>
      <c r="B34" s="26"/>
      <c r="C34" s="27"/>
      <c r="E34" s="27"/>
      <c r="F34" s="28"/>
      <c r="G34" s="29"/>
      <c r="H34" s="25"/>
    </row>
    <row r="35" spans="1:8" s="24" customFormat="1">
      <c r="A35" s="91" t="s">
        <v>469</v>
      </c>
      <c r="D35" s="23" t="s">
        <v>494</v>
      </c>
      <c r="E35" s="27"/>
    </row>
  </sheetData>
  <mergeCells count="9">
    <mergeCell ref="C24:D24"/>
    <mergeCell ref="A27:A30"/>
    <mergeCell ref="A8:D8"/>
    <mergeCell ref="A9:D9"/>
    <mergeCell ref="A11:D11"/>
    <mergeCell ref="A16:A19"/>
    <mergeCell ref="A21:D21"/>
    <mergeCell ref="A24:A25"/>
    <mergeCell ref="B24:B25"/>
  </mergeCells>
  <printOptions horizontalCentered="1"/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2:K26"/>
  <sheetViews>
    <sheetView zoomScale="80" zoomScaleNormal="80" zoomScaleSheetLayoutView="75" workbookViewId="0">
      <selection sqref="A1:XFD2"/>
    </sheetView>
  </sheetViews>
  <sheetFormatPr defaultColWidth="9.140625" defaultRowHeight="18.75"/>
  <cols>
    <col min="1" max="1" width="5.28515625" style="46" customWidth="1"/>
    <col min="2" max="2" width="7" style="46" customWidth="1"/>
    <col min="3" max="3" width="11.28515625" style="46" customWidth="1"/>
    <col min="4" max="4" width="18.140625" style="46" customWidth="1"/>
    <col min="5" max="5" width="7" style="46" customWidth="1"/>
    <col min="6" max="6" width="6.7109375" style="46" customWidth="1"/>
    <col min="7" max="7" width="7.7109375" style="46" customWidth="1"/>
    <col min="8" max="8" width="16.28515625" style="46" customWidth="1"/>
    <col min="9" max="9" width="20.140625" style="46" customWidth="1"/>
    <col min="10" max="10" width="14.42578125" style="46" customWidth="1"/>
    <col min="11" max="11" width="13" style="46" customWidth="1"/>
    <col min="12" max="16384" width="9.140625" style="46"/>
  </cols>
  <sheetData>
    <row r="2" spans="1:11">
      <c r="F2" s="4"/>
      <c r="G2" s="4"/>
      <c r="J2" s="41" t="s">
        <v>576</v>
      </c>
      <c r="K2" s="41"/>
    </row>
    <row r="3" spans="1:11">
      <c r="F3" s="4"/>
      <c r="G3" s="4"/>
      <c r="J3" s="496" t="s">
        <v>922</v>
      </c>
      <c r="K3" s="8"/>
    </row>
    <row r="6" spans="1:11">
      <c r="A6" s="915" t="s">
        <v>292</v>
      </c>
      <c r="B6" s="916"/>
      <c r="C6" s="916"/>
      <c r="D6" s="916"/>
      <c r="E6" s="916"/>
      <c r="F6" s="916"/>
      <c r="G6" s="916"/>
      <c r="H6" s="916"/>
      <c r="I6" s="916"/>
      <c r="J6" s="916"/>
    </row>
    <row r="7" spans="1:11">
      <c r="A7" s="915" t="s">
        <v>835</v>
      </c>
      <c r="B7" s="916"/>
      <c r="C7" s="916"/>
      <c r="D7" s="916"/>
      <c r="E7" s="916"/>
      <c r="F7" s="916"/>
      <c r="G7" s="916"/>
      <c r="H7" s="916"/>
      <c r="I7" s="916"/>
      <c r="J7" s="916"/>
    </row>
    <row r="8" spans="1:11">
      <c r="A8" s="131"/>
      <c r="B8" s="131"/>
      <c r="C8" s="132"/>
      <c r="D8" s="132"/>
      <c r="E8" s="132"/>
      <c r="F8" s="132"/>
      <c r="G8" s="132"/>
      <c r="H8" s="132"/>
      <c r="I8" s="132"/>
      <c r="J8" s="132"/>
    </row>
    <row r="9" spans="1:11" ht="39" customHeight="1">
      <c r="A9" s="917" t="s">
        <v>791</v>
      </c>
      <c r="B9" s="918"/>
      <c r="C9" s="918"/>
      <c r="D9" s="918"/>
      <c r="E9" s="918"/>
      <c r="F9" s="918"/>
      <c r="G9" s="918"/>
      <c r="H9" s="918"/>
      <c r="I9" s="918"/>
      <c r="J9" s="918"/>
    </row>
    <row r="10" spans="1:11">
      <c r="A10" s="13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1" ht="42" customHeight="1">
      <c r="A11" s="922" t="s">
        <v>182</v>
      </c>
      <c r="B11" s="924" t="s">
        <v>450</v>
      </c>
      <c r="C11" s="925"/>
      <c r="D11" s="928" t="s">
        <v>729</v>
      </c>
      <c r="E11" s="930" t="s">
        <v>293</v>
      </c>
      <c r="F11" s="931"/>
      <c r="G11" s="932"/>
      <c r="H11" s="919" t="s">
        <v>834</v>
      </c>
      <c r="I11" s="920"/>
      <c r="J11" s="921"/>
    </row>
    <row r="12" spans="1:11" ht="187.5">
      <c r="A12" s="923"/>
      <c r="B12" s="926"/>
      <c r="C12" s="927"/>
      <c r="D12" s="929"/>
      <c r="E12" s="600" t="s">
        <v>553</v>
      </c>
      <c r="F12" s="600" t="s">
        <v>580</v>
      </c>
      <c r="G12" s="600" t="s">
        <v>776</v>
      </c>
      <c r="H12" s="606" t="s">
        <v>730</v>
      </c>
      <c r="I12" s="606" t="s">
        <v>833</v>
      </c>
      <c r="J12" s="606" t="s">
        <v>294</v>
      </c>
    </row>
    <row r="13" spans="1:11">
      <c r="A13" s="601">
        <v>1</v>
      </c>
      <c r="B13" s="913">
        <v>2</v>
      </c>
      <c r="C13" s="914"/>
      <c r="D13" s="601">
        <v>3</v>
      </c>
      <c r="E13" s="601">
        <v>4</v>
      </c>
      <c r="F13" s="601">
        <v>5</v>
      </c>
      <c r="G13" s="601">
        <v>6</v>
      </c>
      <c r="H13" s="601">
        <v>7</v>
      </c>
      <c r="I13" s="601">
        <v>8</v>
      </c>
      <c r="J13" s="601">
        <v>9</v>
      </c>
    </row>
    <row r="14" spans="1:11">
      <c r="A14" s="133"/>
      <c r="B14" s="913" t="s">
        <v>295</v>
      </c>
      <c r="C14" s="914"/>
      <c r="D14" s="601" t="s">
        <v>295</v>
      </c>
      <c r="E14" s="601" t="s">
        <v>295</v>
      </c>
      <c r="F14" s="601" t="s">
        <v>295</v>
      </c>
      <c r="G14" s="601" t="s">
        <v>295</v>
      </c>
      <c r="H14" s="601" t="s">
        <v>295</v>
      </c>
      <c r="I14" s="601" t="s">
        <v>295</v>
      </c>
      <c r="J14" s="601" t="s">
        <v>295</v>
      </c>
    </row>
    <row r="15" spans="1:11">
      <c r="A15" s="131"/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1" ht="59.25" customHeight="1">
      <c r="A16" s="917" t="s">
        <v>836</v>
      </c>
      <c r="B16" s="918"/>
      <c r="C16" s="918"/>
      <c r="D16" s="918"/>
      <c r="E16" s="918"/>
      <c r="F16" s="918"/>
      <c r="G16" s="918"/>
      <c r="H16" s="918"/>
      <c r="I16" s="918"/>
      <c r="J16" s="918"/>
    </row>
    <row r="17" spans="1:10">
      <c r="A17" s="131"/>
      <c r="B17" s="131"/>
      <c r="C17" s="131"/>
      <c r="D17" s="131"/>
      <c r="E17" s="131"/>
      <c r="F17" s="131"/>
      <c r="G17" s="131"/>
      <c r="H17" s="131"/>
      <c r="I17" s="131"/>
      <c r="J17" s="131"/>
    </row>
    <row r="18" spans="1:10">
      <c r="A18" s="924" t="s">
        <v>296</v>
      </c>
      <c r="B18" s="933"/>
      <c r="C18" s="933"/>
      <c r="D18" s="933"/>
      <c r="E18" s="933"/>
      <c r="F18" s="933"/>
      <c r="G18" s="933"/>
      <c r="H18" s="936" t="s">
        <v>837</v>
      </c>
      <c r="I18" s="937"/>
      <c r="J18" s="937"/>
    </row>
    <row r="19" spans="1:10" ht="59.25" customHeight="1">
      <c r="A19" s="934"/>
      <c r="B19" s="935"/>
      <c r="C19" s="935"/>
      <c r="D19" s="935"/>
      <c r="E19" s="935"/>
      <c r="F19" s="935"/>
      <c r="G19" s="935"/>
      <c r="H19" s="600" t="s">
        <v>553</v>
      </c>
      <c r="I19" s="600" t="s">
        <v>580</v>
      </c>
      <c r="J19" s="600" t="s">
        <v>776</v>
      </c>
    </row>
    <row r="20" spans="1:10">
      <c r="A20" s="936">
        <v>1</v>
      </c>
      <c r="B20" s="938"/>
      <c r="C20" s="938"/>
      <c r="D20" s="938"/>
      <c r="E20" s="938"/>
      <c r="F20" s="938"/>
      <c r="G20" s="938"/>
      <c r="H20" s="134">
        <v>2</v>
      </c>
      <c r="I20" s="134">
        <v>3</v>
      </c>
      <c r="J20" s="134">
        <v>4</v>
      </c>
    </row>
    <row r="21" spans="1:10">
      <c r="A21" s="939" t="s">
        <v>295</v>
      </c>
      <c r="B21" s="940"/>
      <c r="C21" s="940"/>
      <c r="D21" s="940"/>
      <c r="E21" s="940"/>
      <c r="F21" s="940"/>
      <c r="G21" s="940"/>
      <c r="H21" s="601" t="s">
        <v>295</v>
      </c>
      <c r="I21" s="601" t="s">
        <v>295</v>
      </c>
      <c r="J21" s="601" t="s">
        <v>295</v>
      </c>
    </row>
    <row r="24" spans="1:10">
      <c r="A24" s="90" t="s">
        <v>467</v>
      </c>
      <c r="B24" s="26"/>
      <c r="C24" s="27"/>
      <c r="D24" s="27"/>
      <c r="E24" s="27"/>
      <c r="F24" s="28"/>
      <c r="G24" s="29"/>
      <c r="H24" s="25"/>
      <c r="I24" s="24"/>
      <c r="J24" s="24"/>
    </row>
    <row r="25" spans="1:10">
      <c r="A25" s="90" t="s">
        <v>468</v>
      </c>
      <c r="B25" s="26"/>
      <c r="C25" s="27"/>
      <c r="D25" s="24"/>
      <c r="E25" s="27"/>
      <c r="F25" s="28"/>
      <c r="G25" s="29"/>
      <c r="H25" s="25"/>
      <c r="I25" s="24"/>
      <c r="J25" s="24"/>
    </row>
    <row r="26" spans="1:10" ht="22.5" customHeight="1">
      <c r="A26" s="91" t="s">
        <v>469</v>
      </c>
      <c r="B26" s="24"/>
      <c r="C26" s="24"/>
      <c r="D26" s="24"/>
      <c r="E26" s="27"/>
      <c r="F26" s="24"/>
      <c r="G26" s="24"/>
      <c r="H26" s="24"/>
      <c r="I26" s="24"/>
      <c r="J26" s="23" t="s">
        <v>494</v>
      </c>
    </row>
  </sheetData>
  <mergeCells count="15">
    <mergeCell ref="A16:J16"/>
    <mergeCell ref="A18:G19"/>
    <mergeCell ref="H18:J18"/>
    <mergeCell ref="A20:G20"/>
    <mergeCell ref="A21:G21"/>
    <mergeCell ref="B14:C14"/>
    <mergeCell ref="A6:J6"/>
    <mergeCell ref="A7:J7"/>
    <mergeCell ref="A9:J9"/>
    <mergeCell ref="H11:J11"/>
    <mergeCell ref="B13:C13"/>
    <mergeCell ref="A11:A12"/>
    <mergeCell ref="B11:C12"/>
    <mergeCell ref="D11:D12"/>
    <mergeCell ref="E11:G11"/>
  </mergeCells>
  <printOptions horizontalCentered="1"/>
  <pageMargins left="1.1811023622047245" right="0.39370078740157483" top="0.78740157480314965" bottom="0.78740157480314965" header="0.51181102362204722" footer="0.51181102362204722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31"/>
  <sheetViews>
    <sheetView zoomScaleSheetLayoutView="80" workbookViewId="0">
      <selection activeCell="F8" sqref="F8"/>
    </sheetView>
  </sheetViews>
  <sheetFormatPr defaultRowHeight="15"/>
  <cols>
    <col min="1" max="1" width="4.85546875" customWidth="1"/>
    <col min="2" max="2" width="76" customWidth="1"/>
    <col min="3" max="3" width="12" customWidth="1"/>
    <col min="4" max="4" width="12.5703125" customWidth="1"/>
  </cols>
  <sheetData>
    <row r="2" spans="1:4" ht="18.75">
      <c r="A2" s="608"/>
      <c r="B2" s="608"/>
      <c r="C2" s="608"/>
      <c r="D2" s="201" t="s">
        <v>842</v>
      </c>
    </row>
    <row r="3" spans="1:4" ht="18.75">
      <c r="A3" s="608"/>
      <c r="B3" s="608"/>
      <c r="C3" s="608"/>
      <c r="D3" s="496" t="s">
        <v>922</v>
      </c>
    </row>
    <row r="4" spans="1:4" ht="18.75">
      <c r="A4" s="19"/>
      <c r="B4" s="50"/>
      <c r="C4" s="50"/>
      <c r="D4" s="19"/>
    </row>
    <row r="5" spans="1:4" ht="18.75">
      <c r="A5" s="19"/>
      <c r="B5" s="50"/>
      <c r="C5" s="50"/>
      <c r="D5" s="19"/>
    </row>
    <row r="6" spans="1:4" ht="15.75">
      <c r="A6" s="904" t="s">
        <v>838</v>
      </c>
      <c r="B6" s="944"/>
      <c r="C6" s="944"/>
      <c r="D6" s="944"/>
    </row>
    <row r="7" spans="1:4" ht="15.75">
      <c r="A7" s="904" t="s">
        <v>839</v>
      </c>
      <c r="B7" s="905"/>
      <c r="C7" s="905"/>
      <c r="D7" s="905"/>
    </row>
    <row r="8" spans="1:4" ht="18.75">
      <c r="A8" s="112"/>
      <c r="B8" s="113"/>
      <c r="C8" s="113"/>
      <c r="D8" s="111"/>
    </row>
    <row r="9" spans="1:4" ht="39" customHeight="1">
      <c r="A9" s="906" t="s">
        <v>840</v>
      </c>
      <c r="B9" s="907"/>
      <c r="C9" s="907"/>
      <c r="D9" s="907"/>
    </row>
    <row r="10" spans="1:4" ht="18.75">
      <c r="A10" s="112"/>
      <c r="B10" s="113"/>
      <c r="C10" s="113"/>
      <c r="D10" s="111"/>
    </row>
    <row r="11" spans="1:4" ht="15.75">
      <c r="A11" s="112"/>
      <c r="B11" s="113"/>
      <c r="C11" s="113"/>
      <c r="D11" s="114"/>
    </row>
    <row r="12" spans="1:4" ht="37.5">
      <c r="A12" s="115" t="s">
        <v>280</v>
      </c>
      <c r="B12" s="116" t="s">
        <v>449</v>
      </c>
      <c r="C12" s="117"/>
      <c r="D12" s="117" t="s">
        <v>290</v>
      </c>
    </row>
    <row r="13" spans="1:4" ht="18.75">
      <c r="A13" s="115">
        <v>1</v>
      </c>
      <c r="B13" s="115">
        <v>2</v>
      </c>
      <c r="C13" s="118"/>
      <c r="D13" s="609">
        <v>3</v>
      </c>
    </row>
    <row r="14" spans="1:4" ht="75">
      <c r="A14" s="908" t="s">
        <v>281</v>
      </c>
      <c r="B14" s="119" t="s">
        <v>841</v>
      </c>
      <c r="C14" s="610"/>
      <c r="D14" s="611"/>
    </row>
    <row r="15" spans="1:4" ht="18.75">
      <c r="A15" s="909"/>
      <c r="B15" s="122" t="s">
        <v>832</v>
      </c>
      <c r="C15" s="612"/>
      <c r="D15" s="613" t="s">
        <v>295</v>
      </c>
    </row>
    <row r="16" spans="1:4" ht="18.75">
      <c r="A16" s="909"/>
      <c r="B16" s="125" t="s">
        <v>291</v>
      </c>
      <c r="C16" s="614"/>
      <c r="D16" s="265" t="s">
        <v>295</v>
      </c>
    </row>
    <row r="17" spans="1:4" ht="18.75">
      <c r="A17" s="111"/>
      <c r="B17" s="602"/>
      <c r="C17" s="602"/>
      <c r="D17" s="127"/>
    </row>
    <row r="18" spans="1:4" ht="43.5" customHeight="1">
      <c r="A18" s="910" t="s">
        <v>885</v>
      </c>
      <c r="B18" s="911"/>
      <c r="C18" s="911"/>
      <c r="D18" s="911"/>
    </row>
    <row r="19" spans="1:4" ht="18.75">
      <c r="A19" s="112"/>
      <c r="B19" s="113"/>
      <c r="C19" s="113"/>
      <c r="D19" s="111"/>
    </row>
    <row r="20" spans="1:4" ht="15.75">
      <c r="A20" s="112"/>
      <c r="B20" s="113"/>
      <c r="C20" s="113"/>
      <c r="D20" s="114"/>
    </row>
    <row r="21" spans="1:4" ht="18.75">
      <c r="A21" s="945" t="s">
        <v>280</v>
      </c>
      <c r="B21" s="912" t="s">
        <v>449</v>
      </c>
      <c r="C21" s="900" t="s">
        <v>290</v>
      </c>
      <c r="D21" s="900"/>
    </row>
    <row r="22" spans="1:4" ht="18.75">
      <c r="A22" s="946"/>
      <c r="B22" s="912"/>
      <c r="C22" s="603" t="s">
        <v>580</v>
      </c>
      <c r="D22" s="603" t="s">
        <v>776</v>
      </c>
    </row>
    <row r="23" spans="1:4" ht="18.75">
      <c r="A23" s="603">
        <v>1</v>
      </c>
      <c r="B23" s="603">
        <v>2</v>
      </c>
      <c r="C23" s="609">
        <v>3</v>
      </c>
      <c r="D23" s="609">
        <v>4</v>
      </c>
    </row>
    <row r="24" spans="1:4" ht="75">
      <c r="A24" s="941" t="s">
        <v>281</v>
      </c>
      <c r="B24" s="119" t="s">
        <v>841</v>
      </c>
      <c r="C24" s="138"/>
      <c r="D24" s="615"/>
    </row>
    <row r="25" spans="1:4" ht="18.75">
      <c r="A25" s="942"/>
      <c r="B25" s="122" t="s">
        <v>832</v>
      </c>
      <c r="C25" s="139" t="s">
        <v>295</v>
      </c>
      <c r="D25" s="616" t="s">
        <v>295</v>
      </c>
    </row>
    <row r="26" spans="1:4" ht="18.75">
      <c r="A26" s="943"/>
      <c r="B26" s="125" t="s">
        <v>291</v>
      </c>
      <c r="C26" s="140" t="s">
        <v>295</v>
      </c>
      <c r="D26" s="617" t="s">
        <v>295</v>
      </c>
    </row>
    <row r="27" spans="1:4" ht="18.75">
      <c r="A27" s="99"/>
      <c r="B27" s="100"/>
      <c r="C27" s="100"/>
      <c r="D27" s="101"/>
    </row>
    <row r="28" spans="1:4" ht="18.75">
      <c r="A28" s="19"/>
      <c r="B28" s="50"/>
      <c r="C28" s="50"/>
      <c r="D28" s="19"/>
    </row>
    <row r="29" spans="1:4" ht="18.75">
      <c r="A29" s="90" t="s">
        <v>467</v>
      </c>
      <c r="B29" s="26"/>
      <c r="C29" s="27"/>
      <c r="D29" s="27"/>
    </row>
    <row r="30" spans="1:4" ht="18.75">
      <c r="A30" s="90" t="s">
        <v>468</v>
      </c>
      <c r="B30" s="26"/>
      <c r="C30" s="27"/>
      <c r="D30" s="24"/>
    </row>
    <row r="31" spans="1:4" ht="18.75">
      <c r="A31" s="91" t="s">
        <v>469</v>
      </c>
      <c r="B31" s="24"/>
      <c r="C31" s="24"/>
      <c r="D31" s="23" t="s">
        <v>494</v>
      </c>
    </row>
  </sheetData>
  <mergeCells count="9">
    <mergeCell ref="A24:A26"/>
    <mergeCell ref="A6:D6"/>
    <mergeCell ref="A7:D7"/>
    <mergeCell ref="A9:D9"/>
    <mergeCell ref="A14:A16"/>
    <mergeCell ref="A18:D18"/>
    <mergeCell ref="A21:A22"/>
    <mergeCell ref="B21:B22"/>
    <mergeCell ref="C21:D21"/>
  </mergeCells>
  <pageMargins left="0.7" right="0.7" top="0.75" bottom="0.75" header="0.3" footer="0.3"/>
  <pageSetup paperSize="9" scale="8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0" zoomScaleNormal="90" workbookViewId="0">
      <selection activeCell="P9" sqref="P9"/>
    </sheetView>
  </sheetViews>
  <sheetFormatPr defaultRowHeight="15"/>
  <cols>
    <col min="1" max="1" width="5.28515625" customWidth="1"/>
    <col min="2" max="2" width="7" customWidth="1"/>
    <col min="3" max="3" width="11.28515625" customWidth="1"/>
    <col min="4" max="4" width="18.140625" customWidth="1"/>
    <col min="5" max="5" width="7" customWidth="1"/>
    <col min="6" max="6" width="8" customWidth="1"/>
    <col min="7" max="7" width="7.7109375" customWidth="1"/>
    <col min="8" max="8" width="16.28515625" customWidth="1"/>
    <col min="9" max="9" width="20.140625" customWidth="1"/>
    <col min="10" max="10" width="14.42578125" customWidth="1"/>
  </cols>
  <sheetData>
    <row r="1" spans="1:10" ht="18.75">
      <c r="A1" s="46"/>
      <c r="B1" s="46"/>
      <c r="C1" s="46"/>
      <c r="D1" s="46"/>
      <c r="E1" s="46"/>
      <c r="F1" s="4"/>
      <c r="G1" s="4"/>
      <c r="H1" s="46"/>
      <c r="I1" s="46"/>
      <c r="J1" s="41" t="s">
        <v>845</v>
      </c>
    </row>
    <row r="2" spans="1:10" ht="18.75">
      <c r="A2" s="46"/>
      <c r="B2" s="46"/>
      <c r="C2" s="46"/>
      <c r="D2" s="46"/>
      <c r="E2" s="46"/>
      <c r="F2" s="4"/>
      <c r="G2" s="4"/>
      <c r="H2" s="46"/>
      <c r="I2" s="46"/>
      <c r="J2" s="496" t="s">
        <v>922</v>
      </c>
    </row>
    <row r="3" spans="1:10" ht="18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8.7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8.75">
      <c r="A5" s="915" t="s">
        <v>292</v>
      </c>
      <c r="B5" s="916"/>
      <c r="C5" s="916"/>
      <c r="D5" s="916"/>
      <c r="E5" s="916"/>
      <c r="F5" s="916"/>
      <c r="G5" s="916"/>
      <c r="H5" s="916"/>
      <c r="I5" s="916"/>
      <c r="J5" s="916"/>
    </row>
    <row r="6" spans="1:10" ht="18.75">
      <c r="A6" s="915" t="s">
        <v>843</v>
      </c>
      <c r="B6" s="916"/>
      <c r="C6" s="916"/>
      <c r="D6" s="916"/>
      <c r="E6" s="916"/>
      <c r="F6" s="916"/>
      <c r="G6" s="916"/>
      <c r="H6" s="916"/>
      <c r="I6" s="916"/>
      <c r="J6" s="916"/>
    </row>
    <row r="7" spans="1:10" ht="18.75">
      <c r="A7" s="131"/>
      <c r="B7" s="131"/>
      <c r="C7" s="132"/>
      <c r="D7" s="132"/>
      <c r="E7" s="132"/>
      <c r="F7" s="132"/>
      <c r="G7" s="132"/>
      <c r="H7" s="132"/>
      <c r="I7" s="132"/>
      <c r="J7" s="132"/>
    </row>
    <row r="8" spans="1:10" ht="42.75" customHeight="1">
      <c r="A8" s="917" t="s">
        <v>791</v>
      </c>
      <c r="B8" s="918"/>
      <c r="C8" s="918"/>
      <c r="D8" s="918"/>
      <c r="E8" s="918"/>
      <c r="F8" s="918"/>
      <c r="G8" s="918"/>
      <c r="H8" s="918"/>
      <c r="I8" s="918"/>
      <c r="J8" s="918"/>
    </row>
    <row r="9" spans="1:10" ht="18.75">
      <c r="A9" s="131"/>
      <c r="B9" s="131"/>
      <c r="C9" s="131"/>
      <c r="D9" s="131"/>
      <c r="E9" s="131"/>
      <c r="F9" s="131"/>
      <c r="G9" s="131"/>
      <c r="H9" s="131"/>
      <c r="I9" s="131"/>
      <c r="J9" s="131"/>
    </row>
    <row r="10" spans="1:10" ht="36.75" customHeight="1">
      <c r="A10" s="922" t="s">
        <v>182</v>
      </c>
      <c r="B10" s="924" t="s">
        <v>450</v>
      </c>
      <c r="C10" s="925"/>
      <c r="D10" s="928" t="s">
        <v>729</v>
      </c>
      <c r="E10" s="919" t="s">
        <v>844</v>
      </c>
      <c r="F10" s="947"/>
      <c r="G10" s="948"/>
      <c r="H10" s="919" t="s">
        <v>834</v>
      </c>
      <c r="I10" s="920"/>
      <c r="J10" s="921"/>
    </row>
    <row r="11" spans="1:10" ht="201.75" customHeight="1">
      <c r="A11" s="923"/>
      <c r="B11" s="926"/>
      <c r="C11" s="927"/>
      <c r="D11" s="929"/>
      <c r="E11" s="604" t="s">
        <v>553</v>
      </c>
      <c r="F11" s="604" t="s">
        <v>580</v>
      </c>
      <c r="G11" s="604" t="s">
        <v>776</v>
      </c>
      <c r="H11" s="606" t="s">
        <v>730</v>
      </c>
      <c r="I11" s="606" t="s">
        <v>833</v>
      </c>
      <c r="J11" s="606" t="s">
        <v>294</v>
      </c>
    </row>
    <row r="12" spans="1:10" ht="18.75">
      <c r="A12" s="605">
        <v>1</v>
      </c>
      <c r="B12" s="913">
        <v>2</v>
      </c>
      <c r="C12" s="914"/>
      <c r="D12" s="605">
        <v>3</v>
      </c>
      <c r="E12" s="605">
        <v>4</v>
      </c>
      <c r="F12" s="605">
        <v>5</v>
      </c>
      <c r="G12" s="605">
        <v>6</v>
      </c>
      <c r="H12" s="605">
        <v>7</v>
      </c>
      <c r="I12" s="605">
        <v>8</v>
      </c>
      <c r="J12" s="605">
        <v>9</v>
      </c>
    </row>
    <row r="13" spans="1:10" ht="18.75">
      <c r="A13" s="133"/>
      <c r="B13" s="913" t="s">
        <v>295</v>
      </c>
      <c r="C13" s="914"/>
      <c r="D13" s="605" t="s">
        <v>295</v>
      </c>
      <c r="E13" s="605" t="s">
        <v>295</v>
      </c>
      <c r="F13" s="605" t="s">
        <v>295</v>
      </c>
      <c r="G13" s="605" t="s">
        <v>295</v>
      </c>
      <c r="H13" s="605" t="s">
        <v>295</v>
      </c>
      <c r="I13" s="605" t="s">
        <v>295</v>
      </c>
      <c r="J13" s="605" t="s">
        <v>295</v>
      </c>
    </row>
    <row r="14" spans="1:10" ht="18.75">
      <c r="A14" s="131"/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0" ht="57.75" customHeight="1">
      <c r="A15" s="917" t="s">
        <v>836</v>
      </c>
      <c r="B15" s="918"/>
      <c r="C15" s="918"/>
      <c r="D15" s="918"/>
      <c r="E15" s="918"/>
      <c r="F15" s="918"/>
      <c r="G15" s="918"/>
      <c r="H15" s="918"/>
      <c r="I15" s="918"/>
      <c r="J15" s="918"/>
    </row>
    <row r="16" spans="1:10" ht="18.75">
      <c r="A16" s="131"/>
      <c r="B16" s="131"/>
      <c r="C16" s="131"/>
      <c r="D16" s="131"/>
      <c r="E16" s="131"/>
      <c r="F16" s="131"/>
      <c r="G16" s="131"/>
      <c r="H16" s="131"/>
      <c r="I16" s="131"/>
      <c r="J16" s="131"/>
    </row>
    <row r="17" spans="1:10" ht="18.75">
      <c r="A17" s="924" t="s">
        <v>296</v>
      </c>
      <c r="B17" s="933"/>
      <c r="C17" s="933"/>
      <c r="D17" s="933"/>
      <c r="E17" s="933"/>
      <c r="F17" s="933"/>
      <c r="G17" s="933"/>
      <c r="H17" s="936" t="s">
        <v>290</v>
      </c>
      <c r="I17" s="937"/>
      <c r="J17" s="937"/>
    </row>
    <row r="18" spans="1:10" ht="56.25" customHeight="1">
      <c r="A18" s="934"/>
      <c r="B18" s="935"/>
      <c r="C18" s="935"/>
      <c r="D18" s="935"/>
      <c r="E18" s="935"/>
      <c r="F18" s="935"/>
      <c r="G18" s="935"/>
      <c r="H18" s="604" t="s">
        <v>553</v>
      </c>
      <c r="I18" s="604" t="s">
        <v>580</v>
      </c>
      <c r="J18" s="604" t="s">
        <v>776</v>
      </c>
    </row>
    <row r="19" spans="1:10" ht="18.75">
      <c r="A19" s="936">
        <v>1</v>
      </c>
      <c r="B19" s="938"/>
      <c r="C19" s="938"/>
      <c r="D19" s="938"/>
      <c r="E19" s="938"/>
      <c r="F19" s="938"/>
      <c r="G19" s="938"/>
      <c r="H19" s="607">
        <v>2</v>
      </c>
      <c r="I19" s="607">
        <v>3</v>
      </c>
      <c r="J19" s="607">
        <v>4</v>
      </c>
    </row>
    <row r="20" spans="1:10" ht="18.75">
      <c r="A20" s="939" t="s">
        <v>295</v>
      </c>
      <c r="B20" s="940"/>
      <c r="C20" s="940"/>
      <c r="D20" s="940"/>
      <c r="E20" s="940"/>
      <c r="F20" s="940"/>
      <c r="G20" s="940"/>
      <c r="H20" s="605" t="s">
        <v>295</v>
      </c>
      <c r="I20" s="605" t="s">
        <v>295</v>
      </c>
      <c r="J20" s="605" t="s">
        <v>295</v>
      </c>
    </row>
    <row r="21" spans="1:10" ht="18.75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18.7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18.75">
      <c r="A23" s="90" t="s">
        <v>467</v>
      </c>
      <c r="B23" s="26"/>
      <c r="C23" s="27"/>
      <c r="D23" s="27"/>
      <c r="E23" s="27"/>
      <c r="F23" s="28"/>
      <c r="G23" s="29"/>
      <c r="H23" s="25"/>
      <c r="I23" s="24"/>
      <c r="J23" s="24"/>
    </row>
    <row r="24" spans="1:10" ht="18.75">
      <c r="A24" s="90" t="s">
        <v>468</v>
      </c>
      <c r="B24" s="26"/>
      <c r="C24" s="27"/>
      <c r="D24" s="24"/>
      <c r="E24" s="27"/>
      <c r="F24" s="28"/>
      <c r="G24" s="29"/>
      <c r="H24" s="25"/>
      <c r="I24" s="24"/>
      <c r="J24" s="24"/>
    </row>
    <row r="25" spans="1:10" ht="18.75">
      <c r="A25" s="91" t="s">
        <v>469</v>
      </c>
      <c r="B25" s="24"/>
      <c r="C25" s="24"/>
      <c r="D25" s="24"/>
      <c r="E25" s="27"/>
      <c r="F25" s="24"/>
      <c r="G25" s="24"/>
      <c r="H25" s="24"/>
      <c r="I25" s="24"/>
      <c r="J25" s="23" t="s">
        <v>494</v>
      </c>
    </row>
  </sheetData>
  <mergeCells count="15">
    <mergeCell ref="A5:J5"/>
    <mergeCell ref="A6:J6"/>
    <mergeCell ref="A8:J8"/>
    <mergeCell ref="A10:A11"/>
    <mergeCell ref="B10:C11"/>
    <mergeCell ref="D10:D11"/>
    <mergeCell ref="E10:G10"/>
    <mergeCell ref="H10:J10"/>
    <mergeCell ref="A20:G20"/>
    <mergeCell ref="B12:C12"/>
    <mergeCell ref="B13:C13"/>
    <mergeCell ref="A15:J15"/>
    <mergeCell ref="A17:G18"/>
    <mergeCell ref="H17:J17"/>
    <mergeCell ref="A19:G19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H133"/>
  <sheetViews>
    <sheetView zoomScale="80" zoomScaleNormal="80" zoomScaleSheetLayoutView="75" workbookViewId="0">
      <selection activeCell="D2" sqref="D2"/>
    </sheetView>
  </sheetViews>
  <sheetFormatPr defaultColWidth="9.140625" defaultRowHeight="18.75"/>
  <cols>
    <col min="1" max="1" width="28.5703125" style="3" customWidth="1"/>
    <col min="2" max="2" width="55.28515625" style="4" customWidth="1"/>
    <col min="3" max="3" width="15.140625" style="10" customWidth="1"/>
    <col min="4" max="4" width="15.42578125" style="3" customWidth="1"/>
    <col min="5" max="16384" width="9.140625" style="3"/>
  </cols>
  <sheetData>
    <row r="1" spans="1:8" s="18" customFormat="1">
      <c r="A1" s="74"/>
      <c r="B1" s="74"/>
      <c r="C1" s="74"/>
      <c r="D1" s="49" t="s">
        <v>376</v>
      </c>
    </row>
    <row r="2" spans="1:8" s="18" customFormat="1">
      <c r="A2" s="74"/>
      <c r="B2" s="74"/>
      <c r="C2" s="74"/>
      <c r="D2" s="49" t="s">
        <v>1017</v>
      </c>
    </row>
    <row r="3" spans="1:8" s="620" customFormat="1">
      <c r="B3" s="4"/>
      <c r="C3" s="10"/>
    </row>
    <row r="4" spans="1:8">
      <c r="D4" s="1" t="s">
        <v>409</v>
      </c>
    </row>
    <row r="5" spans="1:8">
      <c r="D5" s="496" t="s">
        <v>922</v>
      </c>
    </row>
    <row r="8" spans="1:8" ht="37.5" customHeight="1">
      <c r="A8" s="822" t="s">
        <v>780</v>
      </c>
      <c r="B8" s="822"/>
      <c r="C8" s="822"/>
      <c r="D8" s="822"/>
    </row>
    <row r="10" spans="1:8">
      <c r="D10" s="8" t="s">
        <v>42</v>
      </c>
    </row>
    <row r="11" spans="1:8">
      <c r="A11" s="819" t="s">
        <v>31</v>
      </c>
      <c r="B11" s="820" t="s">
        <v>32</v>
      </c>
      <c r="C11" s="818" t="s">
        <v>33</v>
      </c>
      <c r="D11" s="818"/>
    </row>
    <row r="12" spans="1:8">
      <c r="A12" s="819"/>
      <c r="B12" s="820"/>
      <c r="C12" s="65" t="s">
        <v>580</v>
      </c>
      <c r="D12" s="65" t="s">
        <v>776</v>
      </c>
    </row>
    <row r="13" spans="1:8">
      <c r="A13" s="93">
        <v>1</v>
      </c>
      <c r="B13" s="94">
        <v>2</v>
      </c>
      <c r="C13" s="96">
        <v>3</v>
      </c>
      <c r="D13" s="96">
        <v>4</v>
      </c>
    </row>
    <row r="14" spans="1:8">
      <c r="A14" s="256" t="s">
        <v>156</v>
      </c>
      <c r="B14" s="257" t="s">
        <v>157</v>
      </c>
      <c r="C14" s="518">
        <f>SUM(C15:C33)-C24</f>
        <v>428204.4</v>
      </c>
      <c r="D14" s="518">
        <f>SUM(D15:D33)-D24</f>
        <v>440392.89999999997</v>
      </c>
      <c r="F14" s="75"/>
      <c r="G14" s="48"/>
      <c r="H14" s="75"/>
    </row>
    <row r="15" spans="1:8" s="243" customFormat="1">
      <c r="A15" s="258" t="s">
        <v>158</v>
      </c>
      <c r="B15" s="259" t="s">
        <v>159</v>
      </c>
      <c r="C15" s="519">
        <v>5100</v>
      </c>
      <c r="D15" s="520">
        <v>5200</v>
      </c>
    </row>
    <row r="16" spans="1:8" s="243" customFormat="1">
      <c r="A16" s="258" t="s">
        <v>160</v>
      </c>
      <c r="B16" s="260" t="s">
        <v>161</v>
      </c>
      <c r="C16" s="519">
        <v>307168.2</v>
      </c>
      <c r="D16" s="520">
        <v>312586.5</v>
      </c>
    </row>
    <row r="17" spans="1:4" s="243" customFormat="1" ht="180" customHeight="1">
      <c r="A17" s="261" t="s">
        <v>162</v>
      </c>
      <c r="B17" s="262" t="s">
        <v>830</v>
      </c>
      <c r="C17" s="519">
        <v>5907.9</v>
      </c>
      <c r="D17" s="520">
        <v>6835.1</v>
      </c>
    </row>
    <row r="18" spans="1:4" s="243" customFormat="1" ht="37.5">
      <c r="A18" s="258" t="s">
        <v>365</v>
      </c>
      <c r="B18" s="262" t="s">
        <v>366</v>
      </c>
      <c r="C18" s="519">
        <v>61040</v>
      </c>
      <c r="D18" s="520">
        <v>65310</v>
      </c>
    </row>
    <row r="19" spans="1:4" s="243" customFormat="1" ht="37.5">
      <c r="A19" s="258" t="s">
        <v>163</v>
      </c>
      <c r="B19" s="262" t="s">
        <v>392</v>
      </c>
      <c r="C19" s="519">
        <v>200</v>
      </c>
      <c r="D19" s="520">
        <v>100</v>
      </c>
    </row>
    <row r="20" spans="1:4" s="243" customFormat="1">
      <c r="A20" s="258" t="s">
        <v>164</v>
      </c>
      <c r="B20" s="260" t="s">
        <v>165</v>
      </c>
      <c r="C20" s="519">
        <v>125</v>
      </c>
      <c r="D20" s="520">
        <v>150</v>
      </c>
    </row>
    <row r="21" spans="1:4" s="243" customFormat="1" ht="37.5">
      <c r="A21" s="258" t="s">
        <v>166</v>
      </c>
      <c r="B21" s="262" t="s">
        <v>167</v>
      </c>
      <c r="C21" s="519">
        <v>300</v>
      </c>
      <c r="D21" s="520">
        <v>400</v>
      </c>
    </row>
    <row r="22" spans="1:4" s="243" customFormat="1">
      <c r="A22" s="258" t="s">
        <v>680</v>
      </c>
      <c r="B22" s="262" t="s">
        <v>681</v>
      </c>
      <c r="C22" s="519">
        <v>3672</v>
      </c>
      <c r="D22" s="520">
        <v>3744</v>
      </c>
    </row>
    <row r="23" spans="1:4" s="243" customFormat="1">
      <c r="A23" s="258" t="s">
        <v>168</v>
      </c>
      <c r="B23" s="260" t="s">
        <v>169</v>
      </c>
      <c r="C23" s="519">
        <v>9700</v>
      </c>
      <c r="D23" s="520">
        <v>10190</v>
      </c>
    </row>
    <row r="24" spans="1:4" s="623" customFormat="1" ht="61.5" customHeight="1">
      <c r="A24" s="200" t="s">
        <v>914</v>
      </c>
      <c r="B24" s="231" t="s">
        <v>915</v>
      </c>
      <c r="C24" s="519">
        <f>C25+C26+C27+C28+C29</f>
        <v>28953</v>
      </c>
      <c r="D24" s="519">
        <f>D25+D26+D27+D28+D29</f>
        <v>30012</v>
      </c>
    </row>
    <row r="25" spans="1:4" s="623" customFormat="1" ht="101.25" customHeight="1">
      <c r="A25" s="258" t="s">
        <v>170</v>
      </c>
      <c r="B25" s="263" t="s">
        <v>916</v>
      </c>
      <c r="C25" s="519">
        <v>74</v>
      </c>
      <c r="D25" s="521">
        <v>74</v>
      </c>
    </row>
    <row r="26" spans="1:4" s="623" customFormat="1" ht="117.75" customHeight="1">
      <c r="A26" s="258" t="s">
        <v>171</v>
      </c>
      <c r="B26" s="262" t="s">
        <v>917</v>
      </c>
      <c r="C26" s="519">
        <v>27724</v>
      </c>
      <c r="D26" s="520">
        <v>28924</v>
      </c>
    </row>
    <row r="27" spans="1:4" s="623" customFormat="1" ht="65.25" customHeight="1">
      <c r="A27" s="258" t="s">
        <v>362</v>
      </c>
      <c r="B27" s="262" t="s">
        <v>918</v>
      </c>
      <c r="C27" s="519">
        <v>1021</v>
      </c>
      <c r="D27" s="520">
        <v>880</v>
      </c>
    </row>
    <row r="28" spans="1:4" s="623" customFormat="1" ht="99.75" customHeight="1">
      <c r="A28" s="258" t="s">
        <v>172</v>
      </c>
      <c r="B28" s="262" t="s">
        <v>919</v>
      </c>
      <c r="C28" s="519">
        <v>10</v>
      </c>
      <c r="D28" s="520">
        <v>10</v>
      </c>
    </row>
    <row r="29" spans="1:4" s="623" customFormat="1" ht="138" customHeight="1">
      <c r="A29" s="258" t="s">
        <v>421</v>
      </c>
      <c r="B29" s="262" t="s">
        <v>920</v>
      </c>
      <c r="C29" s="519">
        <v>124</v>
      </c>
      <c r="D29" s="520">
        <v>124</v>
      </c>
    </row>
    <row r="30" spans="1:4" s="623" customFormat="1" ht="37.5">
      <c r="A30" s="258" t="s">
        <v>173</v>
      </c>
      <c r="B30" s="262" t="s">
        <v>174</v>
      </c>
      <c r="C30" s="519">
        <v>276</v>
      </c>
      <c r="D30" s="520">
        <v>276</v>
      </c>
    </row>
    <row r="31" spans="1:4" s="623" customFormat="1" ht="37.5">
      <c r="A31" s="258" t="s">
        <v>492</v>
      </c>
      <c r="B31" s="264" t="s">
        <v>565</v>
      </c>
      <c r="C31" s="519">
        <v>724.3</v>
      </c>
      <c r="D31" s="520">
        <v>724.3</v>
      </c>
    </row>
    <row r="32" spans="1:4" s="623" customFormat="1" ht="37.5">
      <c r="A32" s="258" t="s">
        <v>175</v>
      </c>
      <c r="B32" s="262" t="s">
        <v>176</v>
      </c>
      <c r="C32" s="519">
        <v>4863</v>
      </c>
      <c r="D32" s="520">
        <v>4690</v>
      </c>
    </row>
    <row r="33" spans="1:8" s="623" customFormat="1">
      <c r="A33" s="261" t="s">
        <v>177</v>
      </c>
      <c r="B33" s="262" t="s">
        <v>178</v>
      </c>
      <c r="C33" s="519">
        <v>175</v>
      </c>
      <c r="D33" s="520">
        <v>175</v>
      </c>
    </row>
    <row r="34" spans="1:8" s="517" customFormat="1">
      <c r="A34" s="314" t="s">
        <v>34</v>
      </c>
      <c r="B34" s="624" t="s">
        <v>367</v>
      </c>
      <c r="C34" s="625">
        <f>C35</f>
        <v>1066774.8999999999</v>
      </c>
      <c r="D34" s="625">
        <f>D35</f>
        <v>1071741.6000000001</v>
      </c>
    </row>
    <row r="35" spans="1:8" s="517" customFormat="1" ht="56.25">
      <c r="A35" s="291" t="s">
        <v>35</v>
      </c>
      <c r="B35" s="626" t="s">
        <v>36</v>
      </c>
      <c r="C35" s="521">
        <f>C36+C37+C38+C39</f>
        <v>1066774.8999999999</v>
      </c>
      <c r="D35" s="521">
        <f>D36+D37+D38+D39</f>
        <v>1071741.6000000001</v>
      </c>
    </row>
    <row r="36" spans="1:8" s="628" customFormat="1" ht="37.5">
      <c r="A36" s="291" t="s">
        <v>554</v>
      </c>
      <c r="B36" s="627" t="s">
        <v>413</v>
      </c>
      <c r="C36" s="521">
        <f>'прил.5 (пост.безв.22-23)'!C15</f>
        <v>166399.6</v>
      </c>
      <c r="D36" s="521">
        <f>'прил.5 (пост.безв.22-23)'!D15</f>
        <v>169604.1</v>
      </c>
    </row>
    <row r="37" spans="1:8" s="628" customFormat="1" ht="56.25">
      <c r="A37" s="151" t="s">
        <v>556</v>
      </c>
      <c r="B37" s="579" t="s">
        <v>359</v>
      </c>
      <c r="C37" s="521">
        <f>'прил.5 (пост.безв.22-23)'!C18</f>
        <v>85678.2</v>
      </c>
      <c r="D37" s="521">
        <f>'прил.5 (пост.безв.22-23)'!D18</f>
        <v>86071.4</v>
      </c>
    </row>
    <row r="38" spans="1:8" ht="37.5">
      <c r="A38" s="40" t="s">
        <v>558</v>
      </c>
      <c r="B38" s="2" t="s">
        <v>412</v>
      </c>
      <c r="C38" s="522">
        <f>'прил.5 (пост.безв.22-23)'!C37</f>
        <v>778136.9</v>
      </c>
      <c r="D38" s="522">
        <f>'прил.5 (пост.безв.22-23)'!D37</f>
        <v>779505.9</v>
      </c>
    </row>
    <row r="39" spans="1:8" s="620" customFormat="1">
      <c r="A39" s="621" t="s">
        <v>579</v>
      </c>
      <c r="B39" s="66" t="s">
        <v>179</v>
      </c>
      <c r="C39" s="522">
        <f>'прил.5 (пост.безв.22-23)'!C72</f>
        <v>36560.199999999997</v>
      </c>
      <c r="D39" s="522">
        <f>'прил.5 (пост.безв.22-23)'!D72</f>
        <v>36560.199999999997</v>
      </c>
    </row>
    <row r="40" spans="1:8">
      <c r="A40" s="42"/>
      <c r="B40" s="44" t="s">
        <v>180</v>
      </c>
      <c r="C40" s="72">
        <f>C34+C14</f>
        <v>1494979.2999999998</v>
      </c>
      <c r="D40" s="72">
        <f>D34+D14</f>
        <v>1512134.5</v>
      </c>
    </row>
    <row r="41" spans="1:8" ht="53.25" customHeight="1">
      <c r="A41" s="821" t="s">
        <v>368</v>
      </c>
      <c r="B41" s="821"/>
      <c r="C41" s="821"/>
      <c r="D41" s="821"/>
    </row>
    <row r="42" spans="1:8">
      <c r="A42" s="9"/>
    </row>
    <row r="43" spans="1:8">
      <c r="A43" s="9"/>
    </row>
    <row r="44" spans="1:8" s="24" customFormat="1">
      <c r="A44" s="90" t="s">
        <v>467</v>
      </c>
      <c r="B44" s="26"/>
      <c r="C44" s="27"/>
      <c r="D44" s="27"/>
      <c r="E44" s="27"/>
      <c r="F44" s="28"/>
      <c r="G44" s="29"/>
      <c r="H44" s="25"/>
    </row>
    <row r="45" spans="1:8" s="24" customFormat="1">
      <c r="A45" s="90" t="s">
        <v>468</v>
      </c>
      <c r="B45" s="26"/>
      <c r="C45" s="27"/>
      <c r="D45" s="27"/>
      <c r="E45" s="27"/>
      <c r="F45" s="28"/>
      <c r="G45" s="29"/>
      <c r="H45" s="25"/>
    </row>
    <row r="46" spans="1:8" s="24" customFormat="1">
      <c r="A46" s="91" t="s">
        <v>469</v>
      </c>
      <c r="B46" s="26"/>
      <c r="D46" s="23" t="s">
        <v>494</v>
      </c>
      <c r="E46" s="27"/>
      <c r="F46" s="28"/>
    </row>
    <row r="48" spans="1:8">
      <c r="B48" s="6"/>
      <c r="C48" s="17"/>
    </row>
    <row r="49" spans="2:3">
      <c r="B49" s="6"/>
      <c r="C49" s="17"/>
    </row>
    <row r="56" spans="2:3">
      <c r="B56" s="3"/>
      <c r="C56" s="3"/>
    </row>
    <row r="57" spans="2:3">
      <c r="B57" s="3"/>
      <c r="C57" s="3"/>
    </row>
    <row r="58" spans="2:3">
      <c r="B58" s="3"/>
      <c r="C58" s="3"/>
    </row>
    <row r="59" spans="2:3">
      <c r="B59" s="3"/>
      <c r="C59" s="3"/>
    </row>
    <row r="60" spans="2:3">
      <c r="B60" s="3"/>
      <c r="C60" s="3"/>
    </row>
    <row r="61" spans="2:3">
      <c r="B61" s="3"/>
      <c r="C61" s="3"/>
    </row>
    <row r="62" spans="2:3">
      <c r="B62" s="3"/>
      <c r="C62" s="3"/>
    </row>
    <row r="63" spans="2:3">
      <c r="B63" s="3"/>
      <c r="C63" s="3"/>
    </row>
    <row r="64" spans="2:3">
      <c r="B64" s="3"/>
      <c r="C64" s="3"/>
    </row>
    <row r="65" spans="2:3">
      <c r="B65" s="3"/>
      <c r="C65" s="3"/>
    </row>
    <row r="66" spans="2:3">
      <c r="B66" s="3"/>
      <c r="C66" s="3"/>
    </row>
    <row r="67" spans="2:3">
      <c r="B67" s="3"/>
      <c r="C67" s="3"/>
    </row>
    <row r="68" spans="2:3">
      <c r="B68" s="3"/>
      <c r="C68" s="3"/>
    </row>
    <row r="69" spans="2:3">
      <c r="B69" s="3"/>
      <c r="C69" s="3"/>
    </row>
    <row r="70" spans="2:3">
      <c r="B70" s="3"/>
      <c r="C70" s="3"/>
    </row>
    <row r="71" spans="2:3">
      <c r="B71" s="3"/>
      <c r="C71" s="3"/>
    </row>
    <row r="72" spans="2:3">
      <c r="B72" s="3"/>
      <c r="C72" s="3"/>
    </row>
    <row r="73" spans="2:3">
      <c r="B73" s="3"/>
      <c r="C73" s="3"/>
    </row>
    <row r="74" spans="2:3">
      <c r="B74" s="3"/>
      <c r="C74" s="3"/>
    </row>
    <row r="75" spans="2:3">
      <c r="B75" s="3"/>
      <c r="C75" s="3"/>
    </row>
    <row r="76" spans="2:3">
      <c r="B76" s="3"/>
      <c r="C76" s="3"/>
    </row>
    <row r="77" spans="2:3">
      <c r="B77" s="3"/>
      <c r="C77" s="3"/>
    </row>
    <row r="78" spans="2:3">
      <c r="B78" s="3"/>
      <c r="C78" s="3"/>
    </row>
    <row r="79" spans="2:3">
      <c r="B79" s="3"/>
      <c r="C79" s="3"/>
    </row>
    <row r="80" spans="2:3">
      <c r="B80" s="3"/>
      <c r="C80" s="3"/>
    </row>
    <row r="81" spans="2:3">
      <c r="B81" s="3"/>
      <c r="C81" s="3"/>
    </row>
    <row r="82" spans="2:3">
      <c r="B82" s="3"/>
      <c r="C82" s="3"/>
    </row>
    <row r="83" spans="2:3">
      <c r="B83" s="3"/>
      <c r="C83" s="3"/>
    </row>
    <row r="84" spans="2:3">
      <c r="B84" s="3"/>
      <c r="C84" s="3"/>
    </row>
    <row r="85" spans="2:3">
      <c r="B85" s="3"/>
      <c r="C85" s="3"/>
    </row>
    <row r="86" spans="2:3">
      <c r="B86" s="3"/>
      <c r="C86" s="3"/>
    </row>
    <row r="87" spans="2:3">
      <c r="B87" s="3"/>
      <c r="C87" s="3"/>
    </row>
    <row r="88" spans="2:3">
      <c r="B88" s="3"/>
      <c r="C88" s="3"/>
    </row>
    <row r="89" spans="2:3">
      <c r="B89" s="3"/>
      <c r="C89" s="3"/>
    </row>
    <row r="90" spans="2:3">
      <c r="B90" s="3"/>
      <c r="C90" s="3"/>
    </row>
    <row r="91" spans="2:3">
      <c r="B91" s="3"/>
      <c r="C91" s="3"/>
    </row>
    <row r="92" spans="2:3">
      <c r="B92" s="3"/>
      <c r="C92" s="3"/>
    </row>
    <row r="93" spans="2:3">
      <c r="B93" s="3"/>
      <c r="C93" s="3"/>
    </row>
    <row r="94" spans="2:3">
      <c r="B94" s="3"/>
      <c r="C94" s="3"/>
    </row>
    <row r="95" spans="2:3">
      <c r="B95" s="3"/>
      <c r="C95" s="3"/>
    </row>
    <row r="96" spans="2:3">
      <c r="B96" s="3"/>
      <c r="C96" s="3"/>
    </row>
    <row r="97" spans="2:3">
      <c r="B97" s="3"/>
      <c r="C97" s="3"/>
    </row>
    <row r="98" spans="2:3">
      <c r="B98" s="3"/>
      <c r="C98" s="3"/>
    </row>
    <row r="99" spans="2:3">
      <c r="B99" s="3"/>
      <c r="C99" s="3"/>
    </row>
    <row r="100" spans="2:3">
      <c r="B100" s="3"/>
      <c r="C100" s="3"/>
    </row>
    <row r="101" spans="2:3">
      <c r="B101" s="3"/>
      <c r="C101" s="3"/>
    </row>
    <row r="102" spans="2:3">
      <c r="B102" s="3"/>
      <c r="C102" s="3"/>
    </row>
    <row r="103" spans="2:3">
      <c r="B103" s="3"/>
      <c r="C103" s="3"/>
    </row>
    <row r="104" spans="2:3">
      <c r="B104" s="3"/>
      <c r="C104" s="3"/>
    </row>
    <row r="105" spans="2:3">
      <c r="B105" s="3"/>
      <c r="C105" s="3"/>
    </row>
    <row r="106" spans="2:3">
      <c r="B106" s="3"/>
      <c r="C106" s="3"/>
    </row>
    <row r="107" spans="2:3">
      <c r="B107" s="3"/>
      <c r="C107" s="3"/>
    </row>
    <row r="108" spans="2:3">
      <c r="B108" s="3"/>
      <c r="C108" s="3"/>
    </row>
    <row r="109" spans="2:3">
      <c r="B109" s="3"/>
      <c r="C109" s="3"/>
    </row>
    <row r="110" spans="2:3">
      <c r="B110" s="3"/>
      <c r="C110" s="3"/>
    </row>
    <row r="111" spans="2:3">
      <c r="B111" s="3"/>
      <c r="C111" s="3"/>
    </row>
    <row r="112" spans="2:3">
      <c r="B112" s="3"/>
      <c r="C112" s="3"/>
    </row>
    <row r="113" spans="2:3">
      <c r="B113" s="3"/>
      <c r="C113" s="3"/>
    </row>
    <row r="114" spans="2:3">
      <c r="B114" s="3"/>
      <c r="C114" s="3"/>
    </row>
    <row r="115" spans="2:3">
      <c r="B115" s="3"/>
      <c r="C115" s="3"/>
    </row>
    <row r="116" spans="2:3">
      <c r="B116" s="3"/>
      <c r="C116" s="3"/>
    </row>
    <row r="117" spans="2:3">
      <c r="B117" s="3"/>
      <c r="C117" s="3"/>
    </row>
    <row r="118" spans="2:3">
      <c r="B118" s="3"/>
      <c r="C118" s="3"/>
    </row>
    <row r="119" spans="2:3">
      <c r="B119" s="3"/>
      <c r="C119" s="3"/>
    </row>
    <row r="120" spans="2:3">
      <c r="B120" s="3"/>
      <c r="C120" s="3"/>
    </row>
    <row r="121" spans="2:3">
      <c r="B121" s="3"/>
      <c r="C121" s="3"/>
    </row>
    <row r="122" spans="2:3">
      <c r="B122" s="3"/>
      <c r="C122" s="3"/>
    </row>
    <row r="123" spans="2:3">
      <c r="B123" s="3"/>
      <c r="C123" s="3"/>
    </row>
    <row r="124" spans="2:3">
      <c r="B124" s="3"/>
      <c r="C124" s="3"/>
    </row>
    <row r="125" spans="2:3">
      <c r="B125" s="3"/>
      <c r="C125" s="3"/>
    </row>
    <row r="126" spans="2:3">
      <c r="B126" s="3"/>
      <c r="C126" s="3"/>
    </row>
    <row r="127" spans="2:3">
      <c r="B127" s="3"/>
      <c r="C127" s="3"/>
    </row>
    <row r="128" spans="2:3">
      <c r="B128" s="3"/>
      <c r="C128" s="3"/>
    </row>
    <row r="129" spans="2:3">
      <c r="B129" s="3"/>
      <c r="C129" s="3"/>
    </row>
    <row r="130" spans="2:3">
      <c r="B130" s="3"/>
      <c r="C130" s="3"/>
    </row>
    <row r="131" spans="2:3">
      <c r="B131" s="3"/>
      <c r="C131" s="3"/>
    </row>
    <row r="132" spans="2:3">
      <c r="B132" s="3"/>
      <c r="C132" s="3"/>
    </row>
    <row r="133" spans="2:3">
      <c r="B133" s="3"/>
      <c r="C133" s="3"/>
    </row>
  </sheetData>
  <mergeCells count="5">
    <mergeCell ref="C11:D11"/>
    <mergeCell ref="A11:A12"/>
    <mergeCell ref="B11:B12"/>
    <mergeCell ref="A41:D41"/>
    <mergeCell ref="A8:D8"/>
  </mergeCells>
  <printOptions horizontalCentered="1"/>
  <pageMargins left="1.1811023622047245" right="0.39370078740157483" top="0.78740157480314965" bottom="0.78740157480314965" header="0.39370078740157483" footer="0.39370078740157483"/>
  <pageSetup paperSize="9" scale="72" fitToHeight="0" orientation="portrait" blackAndWhite="1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L409"/>
  <sheetViews>
    <sheetView zoomScale="70" zoomScaleNormal="70" workbookViewId="0">
      <selection activeCell="C2" sqref="C2"/>
    </sheetView>
  </sheetViews>
  <sheetFormatPr defaultColWidth="8.85546875" defaultRowHeight="18.75"/>
  <cols>
    <col min="1" max="1" width="28.140625" style="228" customWidth="1"/>
    <col min="2" max="2" width="72.7109375" style="228" customWidth="1"/>
    <col min="3" max="3" width="15" style="227" customWidth="1"/>
    <col min="4" max="4" width="11.28515625" style="213" customWidth="1"/>
    <col min="5" max="16384" width="8.85546875" style="193"/>
  </cols>
  <sheetData>
    <row r="1" spans="1:4">
      <c r="C1" s="201" t="s">
        <v>409</v>
      </c>
    </row>
    <row r="2" spans="1:4">
      <c r="C2" s="445" t="s">
        <v>1017</v>
      </c>
    </row>
    <row r="4" spans="1:4">
      <c r="C4" s="201" t="s">
        <v>537</v>
      </c>
    </row>
    <row r="5" spans="1:4">
      <c r="C5" s="496" t="s">
        <v>922</v>
      </c>
    </row>
    <row r="7" spans="1:4" ht="15.75" customHeight="1"/>
    <row r="8" spans="1:4">
      <c r="A8" s="823" t="s">
        <v>781</v>
      </c>
      <c r="B8" s="823"/>
      <c r="C8" s="823"/>
    </row>
    <row r="9" spans="1:4">
      <c r="A9" s="229"/>
      <c r="B9" s="229"/>
      <c r="C9" s="214"/>
    </row>
    <row r="10" spans="1:4">
      <c r="C10" s="215" t="s">
        <v>42</v>
      </c>
    </row>
    <row r="11" spans="1:4">
      <c r="A11" s="200" t="s">
        <v>31</v>
      </c>
      <c r="B11" s="200" t="s">
        <v>32</v>
      </c>
      <c r="C11" s="216" t="s">
        <v>33</v>
      </c>
    </row>
    <row r="12" spans="1:4">
      <c r="A12" s="200">
        <v>1</v>
      </c>
      <c r="B12" s="200">
        <v>2</v>
      </c>
      <c r="C12" s="218">
        <v>3</v>
      </c>
    </row>
    <row r="13" spans="1:4">
      <c r="A13" s="203" t="s">
        <v>34</v>
      </c>
      <c r="B13" s="219" t="s">
        <v>367</v>
      </c>
      <c r="C13" s="220">
        <f>C14</f>
        <v>1108516.8999999999</v>
      </c>
      <c r="D13" s="530"/>
    </row>
    <row r="14" spans="1:4" ht="37.5">
      <c r="A14" s="200" t="s">
        <v>35</v>
      </c>
      <c r="B14" s="230" t="s">
        <v>36</v>
      </c>
      <c r="C14" s="235">
        <f>C15+C31+C18+C67</f>
        <v>1108516.8999999999</v>
      </c>
      <c r="D14" s="530"/>
    </row>
    <row r="15" spans="1:4" ht="37.5">
      <c r="A15" s="200" t="s">
        <v>554</v>
      </c>
      <c r="B15" s="230" t="s">
        <v>410</v>
      </c>
      <c r="C15" s="235">
        <f>C16</f>
        <v>206489.1</v>
      </c>
      <c r="D15" s="530"/>
    </row>
    <row r="16" spans="1:4">
      <c r="A16" s="200" t="s">
        <v>555</v>
      </c>
      <c r="B16" s="230" t="s">
        <v>37</v>
      </c>
      <c r="C16" s="235">
        <f>C17</f>
        <v>206489.1</v>
      </c>
      <c r="D16" s="530"/>
    </row>
    <row r="17" spans="1:4" ht="56.25">
      <c r="A17" s="200" t="s">
        <v>545</v>
      </c>
      <c r="B17" s="230" t="s">
        <v>683</v>
      </c>
      <c r="C17" s="235">
        <v>206489.1</v>
      </c>
      <c r="D17" s="530"/>
    </row>
    <row r="18" spans="1:4" ht="37.5">
      <c r="A18" s="200" t="s">
        <v>556</v>
      </c>
      <c r="B18" s="231" t="s">
        <v>454</v>
      </c>
      <c r="C18" s="235">
        <f>C19+C24+C22</f>
        <v>67028.2</v>
      </c>
      <c r="D18" s="530"/>
    </row>
    <row r="19" spans="1:4" ht="48" customHeight="1">
      <c r="A19" s="200" t="s">
        <v>599</v>
      </c>
      <c r="B19" s="231" t="s">
        <v>600</v>
      </c>
      <c r="C19" s="235">
        <f>C20</f>
        <v>12000</v>
      </c>
      <c r="D19" s="530"/>
    </row>
    <row r="20" spans="1:4" ht="56.25">
      <c r="A20" s="200" t="s">
        <v>597</v>
      </c>
      <c r="B20" s="231" t="s">
        <v>598</v>
      </c>
      <c r="C20" s="235">
        <f>C21</f>
        <v>12000</v>
      </c>
      <c r="D20" s="530"/>
    </row>
    <row r="21" spans="1:4" ht="56.25">
      <c r="A21" s="198"/>
      <c r="B21" s="630" t="s">
        <v>799</v>
      </c>
      <c r="C21" s="236">
        <v>12000</v>
      </c>
      <c r="D21" s="530">
        <v>921</v>
      </c>
    </row>
    <row r="22" spans="1:4" s="213" customFormat="1" ht="80.25" customHeight="1">
      <c r="A22" s="198" t="s">
        <v>770</v>
      </c>
      <c r="B22" s="231" t="s">
        <v>795</v>
      </c>
      <c r="C22" s="235">
        <f>C23</f>
        <v>51871.3</v>
      </c>
      <c r="D22" s="530"/>
    </row>
    <row r="23" spans="1:4" s="213" customFormat="1" ht="79.5" customHeight="1">
      <c r="A23" s="198" t="s">
        <v>763</v>
      </c>
      <c r="B23" s="231" t="s">
        <v>764</v>
      </c>
      <c r="C23" s="235">
        <v>51871.3</v>
      </c>
      <c r="D23" s="530">
        <v>925</v>
      </c>
    </row>
    <row r="24" spans="1:4">
      <c r="A24" s="198" t="s">
        <v>557</v>
      </c>
      <c r="B24" s="231" t="s">
        <v>357</v>
      </c>
      <c r="C24" s="235">
        <f>C25</f>
        <v>3156.9</v>
      </c>
      <c r="D24" s="530"/>
    </row>
    <row r="25" spans="1:4" ht="37.5">
      <c r="A25" s="198" t="s">
        <v>542</v>
      </c>
      <c r="B25" s="231" t="s">
        <v>358</v>
      </c>
      <c r="C25" s="235">
        <f>SUM(C26:C30)</f>
        <v>3156.9</v>
      </c>
      <c r="D25" s="530"/>
    </row>
    <row r="26" spans="1:4" ht="97.15" customHeight="1">
      <c r="A26" s="221"/>
      <c r="B26" s="630" t="s">
        <v>581</v>
      </c>
      <c r="C26" s="237">
        <v>40</v>
      </c>
      <c r="D26" s="531">
        <v>926</v>
      </c>
    </row>
    <row r="27" spans="1:4" ht="56.25">
      <c r="A27" s="221"/>
      <c r="B27" s="630" t="s">
        <v>582</v>
      </c>
      <c r="C27" s="237">
        <v>852.9</v>
      </c>
      <c r="D27" s="531">
        <v>929</v>
      </c>
    </row>
    <row r="28" spans="1:4" ht="75">
      <c r="A28" s="221"/>
      <c r="B28" s="631" t="s">
        <v>601</v>
      </c>
      <c r="C28" s="237">
        <v>740</v>
      </c>
      <c r="D28" s="531">
        <v>902</v>
      </c>
    </row>
    <row r="29" spans="1:4" ht="75">
      <c r="A29" s="221"/>
      <c r="B29" s="631" t="s">
        <v>610</v>
      </c>
      <c r="C29" s="237">
        <v>570</v>
      </c>
      <c r="D29" s="531">
        <v>925</v>
      </c>
    </row>
    <row r="30" spans="1:4" ht="109.9" customHeight="1">
      <c r="A30" s="773"/>
      <c r="B30" s="774" t="s">
        <v>1003</v>
      </c>
      <c r="C30" s="775">
        <v>954</v>
      </c>
      <c r="D30" s="531">
        <v>902</v>
      </c>
    </row>
    <row r="31" spans="1:4" ht="37.5">
      <c r="A31" s="200" t="s">
        <v>558</v>
      </c>
      <c r="B31" s="230" t="s">
        <v>411</v>
      </c>
      <c r="C31" s="235">
        <f>C32+C57+C61+C63+C65</f>
        <v>790354.39999999991</v>
      </c>
      <c r="D31" s="530"/>
    </row>
    <row r="32" spans="1:4" ht="39" customHeight="1">
      <c r="A32" s="200" t="s">
        <v>559</v>
      </c>
      <c r="B32" s="230" t="s">
        <v>38</v>
      </c>
      <c r="C32" s="235">
        <f>C33</f>
        <v>722373.8</v>
      </c>
      <c r="D32" s="530"/>
    </row>
    <row r="33" spans="1:4" ht="56.25">
      <c r="A33" s="200" t="s">
        <v>543</v>
      </c>
      <c r="B33" s="230" t="s">
        <v>39</v>
      </c>
      <c r="C33" s="235">
        <f>SUM(C34:C44)+SUM(C46:C51)+C54+C55+C56</f>
        <v>722373.8</v>
      </c>
      <c r="D33" s="530"/>
    </row>
    <row r="34" spans="1:4" ht="152.25" customHeight="1">
      <c r="A34" s="200"/>
      <c r="B34" s="630" t="s">
        <v>602</v>
      </c>
      <c r="C34" s="775">
        <f>250-0.3</f>
        <v>249.7</v>
      </c>
      <c r="D34" s="530" t="s">
        <v>761</v>
      </c>
    </row>
    <row r="35" spans="1:4" s="222" customFormat="1" ht="59.25" customHeight="1">
      <c r="A35" s="200"/>
      <c r="B35" s="631" t="s">
        <v>40</v>
      </c>
      <c r="C35" s="238">
        <f>3472.8-31.2</f>
        <v>3441.6000000000004</v>
      </c>
      <c r="D35" s="531">
        <v>902</v>
      </c>
    </row>
    <row r="36" spans="1:4" ht="56.25">
      <c r="A36" s="200"/>
      <c r="B36" s="631" t="s">
        <v>603</v>
      </c>
      <c r="C36" s="238">
        <f>11712.9-5.6</f>
        <v>11707.3</v>
      </c>
      <c r="D36" s="531">
        <v>902</v>
      </c>
    </row>
    <row r="37" spans="1:4" s="222" customFormat="1" ht="75">
      <c r="A37" s="221"/>
      <c r="B37" s="631" t="s">
        <v>301</v>
      </c>
      <c r="C37" s="238">
        <v>2399</v>
      </c>
      <c r="D37" s="531">
        <v>925</v>
      </c>
    </row>
    <row r="38" spans="1:4" s="222" customFormat="1" ht="165" customHeight="1">
      <c r="A38" s="200"/>
      <c r="B38" s="631" t="s">
        <v>604</v>
      </c>
      <c r="C38" s="238">
        <f>642.1-5.6</f>
        <v>636.5</v>
      </c>
      <c r="D38" s="531">
        <v>902</v>
      </c>
    </row>
    <row r="39" spans="1:4" ht="80.25" customHeight="1">
      <c r="A39" s="232"/>
      <c r="B39" s="631" t="s">
        <v>41</v>
      </c>
      <c r="C39" s="238">
        <v>66</v>
      </c>
      <c r="D39" s="531">
        <v>902</v>
      </c>
    </row>
    <row r="40" spans="1:4" ht="93" customHeight="1">
      <c r="A40" s="221"/>
      <c r="B40" s="631" t="s">
        <v>793</v>
      </c>
      <c r="C40" s="238">
        <v>636.70000000000005</v>
      </c>
      <c r="D40" s="531">
        <v>953</v>
      </c>
    </row>
    <row r="41" spans="1:4" s="222" customFormat="1" ht="64.150000000000006" customHeight="1">
      <c r="A41" s="221"/>
      <c r="B41" s="631" t="s">
        <v>335</v>
      </c>
      <c r="C41" s="238">
        <v>6084</v>
      </c>
      <c r="D41" s="531">
        <v>953</v>
      </c>
    </row>
    <row r="42" spans="1:4" ht="117.6" customHeight="1">
      <c r="A42" s="221"/>
      <c r="B42" s="631" t="s">
        <v>435</v>
      </c>
      <c r="C42" s="238">
        <v>10.1</v>
      </c>
      <c r="D42" s="531">
        <v>953</v>
      </c>
    </row>
    <row r="43" spans="1:4" ht="154.5" customHeight="1">
      <c r="A43" s="200"/>
      <c r="B43" s="631" t="s">
        <v>605</v>
      </c>
      <c r="C43" s="238">
        <v>66</v>
      </c>
      <c r="D43" s="531">
        <v>902</v>
      </c>
    </row>
    <row r="44" spans="1:4" s="222" customFormat="1" ht="147.75" customHeight="1">
      <c r="A44" s="221"/>
      <c r="B44" s="631" t="s">
        <v>304</v>
      </c>
      <c r="C44" s="238">
        <f>C45</f>
        <v>2188.4</v>
      </c>
      <c r="D44" s="531"/>
    </row>
    <row r="45" spans="1:4" s="222" customFormat="1" ht="60.75" customHeight="1">
      <c r="A45" s="221" t="s">
        <v>300</v>
      </c>
      <c r="B45" s="631" t="s">
        <v>606</v>
      </c>
      <c r="C45" s="238">
        <v>2188.4</v>
      </c>
      <c r="D45" s="531">
        <v>925</v>
      </c>
    </row>
    <row r="46" spans="1:4" ht="78.75" customHeight="1">
      <c r="A46" s="221"/>
      <c r="B46" s="631" t="s">
        <v>438</v>
      </c>
      <c r="C46" s="238">
        <v>243.2</v>
      </c>
      <c r="D46" s="531">
        <v>953</v>
      </c>
    </row>
    <row r="47" spans="1:4" ht="93.75">
      <c r="A47" s="221"/>
      <c r="B47" s="631" t="s">
        <v>434</v>
      </c>
      <c r="C47" s="238">
        <v>346.7</v>
      </c>
      <c r="D47" s="531">
        <v>953</v>
      </c>
    </row>
    <row r="48" spans="1:4" ht="152.44999999999999" customHeight="1">
      <c r="A48" s="221"/>
      <c r="B48" s="631" t="s">
        <v>487</v>
      </c>
      <c r="C48" s="776">
        <f>32481.8+10813.4+9277.6</f>
        <v>52572.799999999996</v>
      </c>
      <c r="D48" s="531">
        <v>921</v>
      </c>
    </row>
    <row r="49" spans="1:7" ht="205.9" customHeight="1">
      <c r="A49" s="221"/>
      <c r="B49" s="631" t="s">
        <v>732</v>
      </c>
      <c r="C49" s="238">
        <v>871</v>
      </c>
      <c r="D49" s="531">
        <v>953</v>
      </c>
    </row>
    <row r="50" spans="1:7" ht="131.25" customHeight="1">
      <c r="A50" s="200"/>
      <c r="B50" s="631" t="s">
        <v>688</v>
      </c>
      <c r="C50" s="238">
        <v>187.9</v>
      </c>
      <c r="D50" s="531">
        <v>902</v>
      </c>
    </row>
    <row r="51" spans="1:7" ht="99.75" customHeight="1">
      <c r="A51" s="221"/>
      <c r="B51" s="631" t="s">
        <v>414</v>
      </c>
      <c r="C51" s="238">
        <f>SUM(C52:C53)</f>
        <v>631553.80000000005</v>
      </c>
      <c r="D51" s="531"/>
    </row>
    <row r="52" spans="1:7" s="222" customFormat="1" ht="27" customHeight="1">
      <c r="A52" s="221" t="s">
        <v>300</v>
      </c>
      <c r="B52" s="631" t="s">
        <v>302</v>
      </c>
      <c r="C52" s="236">
        <v>212697.8</v>
      </c>
      <c r="D52" s="531">
        <v>925</v>
      </c>
    </row>
    <row r="53" spans="1:7" s="222" customFormat="1">
      <c r="A53" s="221"/>
      <c r="B53" s="632" t="s">
        <v>303</v>
      </c>
      <c r="C53" s="236">
        <v>418856</v>
      </c>
      <c r="D53" s="531">
        <v>925</v>
      </c>
    </row>
    <row r="54" spans="1:7" s="222" customFormat="1" ht="184.9" customHeight="1">
      <c r="A54" s="221"/>
      <c r="B54" s="633" t="s">
        <v>889</v>
      </c>
      <c r="C54" s="238">
        <v>2358</v>
      </c>
      <c r="D54" s="531">
        <v>925</v>
      </c>
    </row>
    <row r="55" spans="1:7" s="222" customFormat="1" ht="96.75" customHeight="1">
      <c r="A55" s="221"/>
      <c r="B55" s="631" t="s">
        <v>738</v>
      </c>
      <c r="C55" s="238">
        <v>6749.9</v>
      </c>
      <c r="D55" s="532">
        <v>925</v>
      </c>
    </row>
    <row r="56" spans="1:7" s="222" customFormat="1" ht="150">
      <c r="A56" s="221"/>
      <c r="B56" s="774" t="s">
        <v>1004</v>
      </c>
      <c r="C56" s="776">
        <v>5.2</v>
      </c>
      <c r="D56" s="532">
        <v>953</v>
      </c>
    </row>
    <row r="57" spans="1:7" ht="57" customHeight="1">
      <c r="A57" s="198" t="s">
        <v>560</v>
      </c>
      <c r="B57" s="231" t="s">
        <v>336</v>
      </c>
      <c r="C57" s="239">
        <f>C58</f>
        <v>58601.1</v>
      </c>
      <c r="D57" s="531"/>
    </row>
    <row r="58" spans="1:7" ht="75">
      <c r="A58" s="198" t="s">
        <v>552</v>
      </c>
      <c r="B58" s="231" t="s">
        <v>337</v>
      </c>
      <c r="C58" s="239">
        <f>SUM(C59:C60)</f>
        <v>58601.1</v>
      </c>
      <c r="D58" s="531"/>
    </row>
    <row r="59" spans="1:7" ht="109.15" customHeight="1">
      <c r="A59" s="221"/>
      <c r="B59" s="631" t="s">
        <v>436</v>
      </c>
      <c r="C59" s="238">
        <v>32982</v>
      </c>
      <c r="D59" s="531">
        <v>953</v>
      </c>
    </row>
    <row r="60" spans="1:7" s="210" customFormat="1" ht="75">
      <c r="A60" s="221"/>
      <c r="B60" s="630" t="s">
        <v>437</v>
      </c>
      <c r="C60" s="238">
        <v>25619.1</v>
      </c>
      <c r="D60" s="531">
        <v>953</v>
      </c>
      <c r="E60" s="207"/>
      <c r="F60" s="208"/>
      <c r="G60" s="209"/>
    </row>
    <row r="61" spans="1:7" s="210" customFormat="1" ht="88.9" customHeight="1">
      <c r="A61" s="198" t="s">
        <v>561</v>
      </c>
      <c r="B61" s="230" t="s">
        <v>299</v>
      </c>
      <c r="C61" s="239">
        <f>C62</f>
        <v>8034.2</v>
      </c>
      <c r="D61" s="531" t="s">
        <v>471</v>
      </c>
      <c r="E61" s="207"/>
      <c r="F61" s="208"/>
      <c r="G61" s="209"/>
    </row>
    <row r="62" spans="1:7" s="210" customFormat="1" ht="95.25" customHeight="1">
      <c r="A62" s="198" t="s">
        <v>551</v>
      </c>
      <c r="B62" s="230" t="s">
        <v>24</v>
      </c>
      <c r="C62" s="239">
        <v>8034.2</v>
      </c>
      <c r="D62" s="532">
        <v>925</v>
      </c>
      <c r="E62" s="207"/>
    </row>
    <row r="63" spans="1:7" ht="78.75" customHeight="1">
      <c r="A63" s="200" t="s">
        <v>562</v>
      </c>
      <c r="B63" s="618" t="s">
        <v>486</v>
      </c>
      <c r="C63" s="235">
        <f>C64</f>
        <v>13.2</v>
      </c>
      <c r="D63" s="531"/>
    </row>
    <row r="64" spans="1:7" ht="87" customHeight="1">
      <c r="A64" s="200" t="s">
        <v>544</v>
      </c>
      <c r="B64" s="618" t="s">
        <v>455</v>
      </c>
      <c r="C64" s="235">
        <v>13.2</v>
      </c>
      <c r="D64" s="531">
        <v>902</v>
      </c>
    </row>
    <row r="65" spans="1:4" ht="39.75" customHeight="1">
      <c r="A65" s="200" t="s">
        <v>898</v>
      </c>
      <c r="B65" s="618" t="s">
        <v>899</v>
      </c>
      <c r="C65" s="235">
        <f>C66</f>
        <v>1332.1</v>
      </c>
      <c r="D65" s="531"/>
    </row>
    <row r="66" spans="1:4" ht="40.5" customHeight="1">
      <c r="A66" s="200" t="s">
        <v>900</v>
      </c>
      <c r="B66" s="618" t="s">
        <v>901</v>
      </c>
      <c r="C66" s="235">
        <v>1332.1</v>
      </c>
      <c r="D66" s="531">
        <v>902</v>
      </c>
    </row>
    <row r="67" spans="1:4" ht="29.25" customHeight="1">
      <c r="A67" s="200" t="s">
        <v>579</v>
      </c>
      <c r="B67" s="618" t="s">
        <v>691</v>
      </c>
      <c r="C67" s="235">
        <f>C68+C70</f>
        <v>44645.2</v>
      </c>
      <c r="D67" s="531"/>
    </row>
    <row r="68" spans="1:4" ht="75" customHeight="1">
      <c r="A68" s="200" t="s">
        <v>890</v>
      </c>
      <c r="B68" s="618" t="s">
        <v>891</v>
      </c>
      <c r="C68" s="619">
        <f>C69</f>
        <v>36560.199999999997</v>
      </c>
    </row>
    <row r="69" spans="1:4" ht="93.75">
      <c r="A69" s="200" t="s">
        <v>762</v>
      </c>
      <c r="B69" s="618" t="s">
        <v>798</v>
      </c>
      <c r="C69" s="619">
        <v>36560.199999999997</v>
      </c>
    </row>
    <row r="70" spans="1:4" ht="37.5">
      <c r="A70" s="786" t="s">
        <v>1011</v>
      </c>
      <c r="B70" s="787" t="s">
        <v>1012</v>
      </c>
      <c r="C70" s="788">
        <f>C71</f>
        <v>8085</v>
      </c>
    </row>
    <row r="71" spans="1:4" ht="37.5">
      <c r="A71" s="786" t="s">
        <v>550</v>
      </c>
      <c r="B71" s="787" t="s">
        <v>21</v>
      </c>
      <c r="C71" s="788">
        <v>8085</v>
      </c>
      <c r="D71" s="213">
        <v>925</v>
      </c>
    </row>
    <row r="72" spans="1:4">
      <c r="A72" s="247"/>
      <c r="B72" s="389"/>
      <c r="C72" s="225"/>
    </row>
    <row r="73" spans="1:4">
      <c r="A73" s="247"/>
      <c r="B73" s="389"/>
      <c r="C73" s="225"/>
    </row>
    <row r="74" spans="1:4">
      <c r="A74" s="233" t="s">
        <v>467</v>
      </c>
      <c r="B74" s="206"/>
      <c r="C74" s="207"/>
      <c r="D74" s="226"/>
    </row>
    <row r="75" spans="1:4">
      <c r="A75" s="233" t="s">
        <v>468</v>
      </c>
      <c r="B75" s="206"/>
      <c r="C75" s="207"/>
      <c r="D75" s="226"/>
    </row>
    <row r="76" spans="1:4">
      <c r="A76" s="234" t="s">
        <v>469</v>
      </c>
      <c r="B76" s="206"/>
      <c r="C76" s="212" t="s">
        <v>494</v>
      </c>
      <c r="D76" s="226"/>
    </row>
    <row r="408" spans="11:12">
      <c r="K408" s="193">
        <v>135.4</v>
      </c>
      <c r="L408" s="193">
        <v>140.9</v>
      </c>
    </row>
    <row r="409" spans="11:12">
      <c r="K409" s="193">
        <v>27088.9</v>
      </c>
      <c r="L409" s="193">
        <v>28171.4</v>
      </c>
    </row>
  </sheetData>
  <autoFilter ref="A4:D76"/>
  <mergeCells count="1">
    <mergeCell ref="A8:C8"/>
  </mergeCells>
  <printOptions horizontalCentered="1"/>
  <pageMargins left="1.1811023622047245" right="0.39370078740157483" top="0.6692913385826772" bottom="0.39370078740157483" header="0" footer="0"/>
  <pageSetup paperSize="9" scale="73" fitToHeight="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14"/>
  <sheetViews>
    <sheetView zoomScale="80" zoomScaleNormal="80" workbookViewId="0">
      <selection activeCell="D2" sqref="D2"/>
    </sheetView>
  </sheetViews>
  <sheetFormatPr defaultColWidth="8.85546875" defaultRowHeight="18.75"/>
  <cols>
    <col min="1" max="1" width="28.7109375" style="193" customWidth="1"/>
    <col min="2" max="2" width="69.140625" style="193" customWidth="1"/>
    <col min="3" max="3" width="13.5703125" style="227" customWidth="1"/>
    <col min="4" max="4" width="14.140625" style="193" customWidth="1"/>
    <col min="5" max="5" width="12.28515625" style="241" customWidth="1"/>
    <col min="6" max="16384" width="8.85546875" style="193"/>
  </cols>
  <sheetData>
    <row r="1" spans="1:4">
      <c r="D1" s="201" t="s">
        <v>537</v>
      </c>
    </row>
    <row r="2" spans="1:4">
      <c r="D2" s="445" t="s">
        <v>1017</v>
      </c>
    </row>
    <row r="4" spans="1:4">
      <c r="D4" s="201" t="s">
        <v>461</v>
      </c>
    </row>
    <row r="5" spans="1:4">
      <c r="D5" s="496" t="s">
        <v>922</v>
      </c>
    </row>
    <row r="7" spans="1:4">
      <c r="A7" s="823" t="s">
        <v>782</v>
      </c>
      <c r="B7" s="823"/>
      <c r="C7" s="823"/>
      <c r="D7" s="823"/>
    </row>
    <row r="8" spans="1:4" ht="15" customHeight="1">
      <c r="A8" s="629"/>
      <c r="B8" s="629"/>
      <c r="C8" s="214"/>
    </row>
    <row r="9" spans="1:4">
      <c r="D9" s="215" t="s">
        <v>42</v>
      </c>
    </row>
    <row r="10" spans="1:4">
      <c r="A10" s="826" t="s">
        <v>31</v>
      </c>
      <c r="B10" s="826" t="s">
        <v>32</v>
      </c>
      <c r="C10" s="824" t="s">
        <v>33</v>
      </c>
      <c r="D10" s="825"/>
    </row>
    <row r="11" spans="1:4">
      <c r="A11" s="827"/>
      <c r="B11" s="827"/>
      <c r="C11" s="216" t="s">
        <v>580</v>
      </c>
      <c r="D11" s="216" t="s">
        <v>776</v>
      </c>
    </row>
    <row r="12" spans="1:4">
      <c r="A12" s="217">
        <v>1</v>
      </c>
      <c r="B12" s="217">
        <v>2</v>
      </c>
      <c r="C12" s="218">
        <v>3</v>
      </c>
      <c r="D12" s="218">
        <v>4</v>
      </c>
    </row>
    <row r="13" spans="1:4">
      <c r="A13" s="203" t="s">
        <v>34</v>
      </c>
      <c r="B13" s="219" t="s">
        <v>367</v>
      </c>
      <c r="C13" s="220">
        <f>C14</f>
        <v>1066774.8999999999</v>
      </c>
      <c r="D13" s="220">
        <f>D14</f>
        <v>1071741.6000000001</v>
      </c>
    </row>
    <row r="14" spans="1:4" ht="37.5">
      <c r="A14" s="200" t="s">
        <v>35</v>
      </c>
      <c r="B14" s="230" t="s">
        <v>36</v>
      </c>
      <c r="C14" s="235">
        <f>C15+C37+C18+C72</f>
        <v>1066774.8999999999</v>
      </c>
      <c r="D14" s="235">
        <f>D15+D37+D18+D72</f>
        <v>1071741.6000000001</v>
      </c>
    </row>
    <row r="15" spans="1:4" ht="37.5">
      <c r="A15" s="200" t="s">
        <v>554</v>
      </c>
      <c r="B15" s="230" t="s">
        <v>410</v>
      </c>
      <c r="C15" s="235">
        <f>C16</f>
        <v>166399.6</v>
      </c>
      <c r="D15" s="235">
        <f>D16</f>
        <v>169604.1</v>
      </c>
    </row>
    <row r="16" spans="1:4">
      <c r="A16" s="200" t="s">
        <v>555</v>
      </c>
      <c r="B16" s="230" t="s">
        <v>37</v>
      </c>
      <c r="C16" s="235">
        <f>C17</f>
        <v>166399.6</v>
      </c>
      <c r="D16" s="235">
        <f>D17</f>
        <v>169604.1</v>
      </c>
    </row>
    <row r="17" spans="1:5" ht="56.25">
      <c r="A17" s="200" t="s">
        <v>545</v>
      </c>
      <c r="B17" s="230" t="s">
        <v>683</v>
      </c>
      <c r="C17" s="235">
        <v>166399.6</v>
      </c>
      <c r="D17" s="235">
        <v>169604.1</v>
      </c>
    </row>
    <row r="18" spans="1:5" ht="37.5">
      <c r="A18" s="200" t="s">
        <v>556</v>
      </c>
      <c r="B18" s="231" t="s">
        <v>454</v>
      </c>
      <c r="C18" s="235">
        <f>C19+C31+C29+C23+C25+C27</f>
        <v>85678.2</v>
      </c>
      <c r="D18" s="235">
        <f>D19+D31+D29+D23+D25+D27</f>
        <v>86071.4</v>
      </c>
    </row>
    <row r="19" spans="1:5" ht="35.25" customHeight="1">
      <c r="A19" s="200" t="s">
        <v>599</v>
      </c>
      <c r="B19" s="231" t="s">
        <v>600</v>
      </c>
      <c r="C19" s="235">
        <f>C20</f>
        <v>19737.099999999999</v>
      </c>
      <c r="D19" s="235">
        <f>D20</f>
        <v>0</v>
      </c>
    </row>
    <row r="20" spans="1:5" ht="56.25">
      <c r="A20" s="200" t="s">
        <v>597</v>
      </c>
      <c r="B20" s="231" t="s">
        <v>598</v>
      </c>
      <c r="C20" s="235">
        <f>C21+C22</f>
        <v>19737.099999999999</v>
      </c>
      <c r="D20" s="235">
        <f>D21+D22</f>
        <v>0</v>
      </c>
    </row>
    <row r="21" spans="1:5" ht="75" customHeight="1">
      <c r="A21" s="200"/>
      <c r="B21" s="631" t="s">
        <v>733</v>
      </c>
      <c r="C21" s="237">
        <v>8000</v>
      </c>
      <c r="D21" s="237">
        <v>0</v>
      </c>
      <c r="E21" s="241">
        <v>921</v>
      </c>
    </row>
    <row r="22" spans="1:5" ht="53.25" customHeight="1">
      <c r="A22" s="198"/>
      <c r="B22" s="630" t="s">
        <v>799</v>
      </c>
      <c r="C22" s="236">
        <v>11737.1</v>
      </c>
      <c r="D22" s="236">
        <v>0</v>
      </c>
      <c r="E22" s="241">
        <v>921</v>
      </c>
    </row>
    <row r="23" spans="1:5" ht="156" customHeight="1">
      <c r="A23" s="200" t="s">
        <v>806</v>
      </c>
      <c r="B23" s="230" t="s">
        <v>805</v>
      </c>
      <c r="C23" s="236">
        <f>C24</f>
        <v>0</v>
      </c>
      <c r="D23" s="236">
        <f>D24</f>
        <v>20613.5</v>
      </c>
    </row>
    <row r="24" spans="1:5" ht="150.75" customHeight="1">
      <c r="A24" s="200" t="s">
        <v>808</v>
      </c>
      <c r="B24" s="230" t="s">
        <v>807</v>
      </c>
      <c r="C24" s="236">
        <v>0</v>
      </c>
      <c r="D24" s="236">
        <v>20613.5</v>
      </c>
      <c r="E24" s="241">
        <v>902</v>
      </c>
    </row>
    <row r="25" spans="1:5" ht="110.25" customHeight="1">
      <c r="A25" s="200" t="s">
        <v>811</v>
      </c>
      <c r="B25" s="230" t="s">
        <v>813</v>
      </c>
      <c r="C25" s="236">
        <f>C26</f>
        <v>0</v>
      </c>
      <c r="D25" s="236">
        <f>D26</f>
        <v>5153.3999999999996</v>
      </c>
    </row>
    <row r="26" spans="1:5" ht="111.75" customHeight="1">
      <c r="A26" s="200" t="s">
        <v>812</v>
      </c>
      <c r="B26" s="230" t="s">
        <v>814</v>
      </c>
      <c r="C26" s="236">
        <v>0</v>
      </c>
      <c r="D26" s="236">
        <v>5153.3999999999996</v>
      </c>
      <c r="E26" s="241">
        <v>902</v>
      </c>
    </row>
    <row r="27" spans="1:5" s="213" customFormat="1" ht="56.25" customHeight="1">
      <c r="A27" s="198" t="s">
        <v>892</v>
      </c>
      <c r="B27" s="231" t="s">
        <v>893</v>
      </c>
      <c r="C27" s="235">
        <f>C28</f>
        <v>0</v>
      </c>
      <c r="D27" s="235">
        <f>D28</f>
        <v>3579.1</v>
      </c>
      <c r="E27" s="241"/>
    </row>
    <row r="28" spans="1:5" s="213" customFormat="1" ht="64.5" customHeight="1">
      <c r="A28" s="198" t="s">
        <v>894</v>
      </c>
      <c r="B28" s="231" t="s">
        <v>895</v>
      </c>
      <c r="C28" s="235">
        <v>0</v>
      </c>
      <c r="D28" s="235">
        <v>3579.1</v>
      </c>
      <c r="E28" s="241">
        <v>929</v>
      </c>
    </row>
    <row r="29" spans="1:5" s="213" customFormat="1" ht="75">
      <c r="A29" s="198" t="s">
        <v>770</v>
      </c>
      <c r="B29" s="231" t="s">
        <v>771</v>
      </c>
      <c r="C29" s="235">
        <f>C30</f>
        <v>56167.5</v>
      </c>
      <c r="D29" s="235">
        <f>D30</f>
        <v>54805.599999999999</v>
      </c>
      <c r="E29" s="241"/>
    </row>
    <row r="30" spans="1:5" s="213" customFormat="1" ht="93.75">
      <c r="A30" s="198" t="s">
        <v>763</v>
      </c>
      <c r="B30" s="231" t="s">
        <v>764</v>
      </c>
      <c r="C30" s="235">
        <v>56167.5</v>
      </c>
      <c r="D30" s="235">
        <v>54805.599999999999</v>
      </c>
      <c r="E30" s="241">
        <v>925</v>
      </c>
    </row>
    <row r="31" spans="1:5">
      <c r="A31" s="198" t="s">
        <v>557</v>
      </c>
      <c r="B31" s="231" t="s">
        <v>357</v>
      </c>
      <c r="C31" s="235">
        <f>C32</f>
        <v>9773.6</v>
      </c>
      <c r="D31" s="235">
        <f>D32</f>
        <v>1919.8</v>
      </c>
    </row>
    <row r="32" spans="1:5" ht="37.5">
      <c r="A32" s="198" t="s">
        <v>542</v>
      </c>
      <c r="B32" s="231" t="s">
        <v>358</v>
      </c>
      <c r="C32" s="235">
        <f>SUM(C33:C36)</f>
        <v>9773.6</v>
      </c>
      <c r="D32" s="235">
        <f>SUM(D33:D36)</f>
        <v>1919.8</v>
      </c>
    </row>
    <row r="33" spans="1:5" ht="93" customHeight="1">
      <c r="A33" s="221"/>
      <c r="B33" s="631" t="s">
        <v>601</v>
      </c>
      <c r="C33" s="237">
        <v>740</v>
      </c>
      <c r="D33" s="237">
        <v>740</v>
      </c>
      <c r="E33" s="241">
        <v>902</v>
      </c>
    </row>
    <row r="34" spans="1:5" ht="72.75" customHeight="1">
      <c r="A34" s="221"/>
      <c r="B34" s="631" t="s">
        <v>609</v>
      </c>
      <c r="C34" s="237">
        <v>8140.7</v>
      </c>
      <c r="D34" s="237">
        <v>1139.8</v>
      </c>
      <c r="E34" s="241">
        <v>925</v>
      </c>
    </row>
    <row r="35" spans="1:5" ht="112.5">
      <c r="A35" s="221"/>
      <c r="B35" s="630" t="s">
        <v>581</v>
      </c>
      <c r="C35" s="237">
        <v>40</v>
      </c>
      <c r="D35" s="237">
        <v>40</v>
      </c>
      <c r="E35" s="241">
        <v>926</v>
      </c>
    </row>
    <row r="36" spans="1:5" ht="56.25">
      <c r="A36" s="221"/>
      <c r="B36" s="630" t="s">
        <v>582</v>
      </c>
      <c r="C36" s="237">
        <v>852.9</v>
      </c>
      <c r="D36" s="237">
        <v>0</v>
      </c>
      <c r="E36" s="241">
        <v>929</v>
      </c>
    </row>
    <row r="37" spans="1:5" ht="37.5">
      <c r="A37" s="200" t="s">
        <v>558</v>
      </c>
      <c r="B37" s="230" t="s">
        <v>411</v>
      </c>
      <c r="C37" s="235">
        <f>C38+C62+C66+C68+C70</f>
        <v>778136.9</v>
      </c>
      <c r="D37" s="235">
        <f>D38+D62+D66+D68+D70</f>
        <v>779505.9</v>
      </c>
    </row>
    <row r="38" spans="1:5" ht="39.75" customHeight="1">
      <c r="A38" s="200" t="s">
        <v>559</v>
      </c>
      <c r="B38" s="230" t="s">
        <v>38</v>
      </c>
      <c r="C38" s="235">
        <f>C39</f>
        <v>700815.3</v>
      </c>
      <c r="D38" s="235">
        <f>D39</f>
        <v>700904.40000000014</v>
      </c>
    </row>
    <row r="39" spans="1:5" ht="56.25">
      <c r="A39" s="200" t="s">
        <v>543</v>
      </c>
      <c r="B39" s="230" t="s">
        <v>39</v>
      </c>
      <c r="C39" s="235">
        <f>SUM(C40:C50)+SUM(C52:C57)+C60+C61</f>
        <v>700815.3</v>
      </c>
      <c r="D39" s="235">
        <f>SUM(D40:D50)+SUM(D52:D57)+D60+D61</f>
        <v>700904.40000000014</v>
      </c>
    </row>
    <row r="40" spans="1:5" ht="183.75" customHeight="1">
      <c r="A40" s="200"/>
      <c r="B40" s="630" t="s">
        <v>602</v>
      </c>
      <c r="C40" s="237">
        <v>250</v>
      </c>
      <c r="D40" s="237">
        <v>250</v>
      </c>
      <c r="E40" s="241">
        <v>929</v>
      </c>
    </row>
    <row r="41" spans="1:5" ht="75.75" customHeight="1">
      <c r="A41" s="200"/>
      <c r="B41" s="631" t="s">
        <v>40</v>
      </c>
      <c r="C41" s="238">
        <v>3441.6</v>
      </c>
      <c r="D41" s="238">
        <v>3441.6</v>
      </c>
      <c r="E41" s="241">
        <v>902</v>
      </c>
    </row>
    <row r="42" spans="1:5" ht="56.25">
      <c r="A42" s="200"/>
      <c r="B42" s="631" t="s">
        <v>603</v>
      </c>
      <c r="C42" s="238">
        <v>11707.3</v>
      </c>
      <c r="D42" s="238">
        <f>11729.7-22.4</f>
        <v>11707.300000000001</v>
      </c>
      <c r="E42" s="241">
        <v>902</v>
      </c>
    </row>
    <row r="43" spans="1:5" ht="75">
      <c r="A43" s="221"/>
      <c r="B43" s="631" t="s">
        <v>301</v>
      </c>
      <c r="C43" s="238">
        <v>2399</v>
      </c>
      <c r="D43" s="238">
        <v>2399</v>
      </c>
      <c r="E43" s="241">
        <v>925</v>
      </c>
    </row>
    <row r="44" spans="1:5" ht="182.25" customHeight="1">
      <c r="A44" s="200"/>
      <c r="B44" s="631" t="s">
        <v>604</v>
      </c>
      <c r="C44" s="238">
        <v>636.5</v>
      </c>
      <c r="D44" s="238">
        <v>636.5</v>
      </c>
      <c r="E44" s="241">
        <v>902</v>
      </c>
    </row>
    <row r="45" spans="1:5" s="222" customFormat="1" ht="92.25" customHeight="1">
      <c r="A45" s="232"/>
      <c r="B45" s="631" t="s">
        <v>41</v>
      </c>
      <c r="C45" s="238">
        <v>66</v>
      </c>
      <c r="D45" s="238">
        <v>66</v>
      </c>
      <c r="E45" s="241">
        <v>902</v>
      </c>
    </row>
    <row r="46" spans="1:5" s="222" customFormat="1" ht="97.5" customHeight="1">
      <c r="A46" s="221"/>
      <c r="B46" s="631" t="s">
        <v>793</v>
      </c>
      <c r="C46" s="238">
        <v>636.70000000000005</v>
      </c>
      <c r="D46" s="238">
        <v>636.70000000000005</v>
      </c>
      <c r="E46" s="241">
        <v>953</v>
      </c>
    </row>
    <row r="47" spans="1:5" s="222" customFormat="1" ht="59.25" customHeight="1">
      <c r="A47" s="221"/>
      <c r="B47" s="631" t="s">
        <v>335</v>
      </c>
      <c r="C47" s="238">
        <v>6084</v>
      </c>
      <c r="D47" s="238">
        <v>6084</v>
      </c>
      <c r="E47" s="241">
        <v>953</v>
      </c>
    </row>
    <row r="48" spans="1:5" s="222" customFormat="1" ht="128.25" customHeight="1">
      <c r="A48" s="221"/>
      <c r="B48" s="631" t="s">
        <v>435</v>
      </c>
      <c r="C48" s="238">
        <v>10.1</v>
      </c>
      <c r="D48" s="238">
        <v>10.1</v>
      </c>
      <c r="E48" s="241">
        <v>953</v>
      </c>
    </row>
    <row r="49" spans="1:5" s="222" customFormat="1" ht="166.5" customHeight="1">
      <c r="A49" s="200"/>
      <c r="B49" s="631" t="s">
        <v>605</v>
      </c>
      <c r="C49" s="238">
        <v>66</v>
      </c>
      <c r="D49" s="238">
        <v>66</v>
      </c>
      <c r="E49" s="241">
        <v>902</v>
      </c>
    </row>
    <row r="50" spans="1:5" s="222" customFormat="1" ht="168.75" customHeight="1">
      <c r="A50" s="221"/>
      <c r="B50" s="631" t="s">
        <v>304</v>
      </c>
      <c r="C50" s="238">
        <f>C51</f>
        <v>2263.8000000000002</v>
      </c>
      <c r="D50" s="238">
        <f>D51</f>
        <v>2342.6999999999998</v>
      </c>
      <c r="E50" s="241"/>
    </row>
    <row r="51" spans="1:5" s="222" customFormat="1" ht="69.75" customHeight="1">
      <c r="A51" s="221" t="s">
        <v>300</v>
      </c>
      <c r="B51" s="631" t="s">
        <v>606</v>
      </c>
      <c r="C51" s="238">
        <v>2263.8000000000002</v>
      </c>
      <c r="D51" s="238">
        <v>2342.6999999999998</v>
      </c>
      <c r="E51" s="241">
        <v>925</v>
      </c>
    </row>
    <row r="52" spans="1:5" s="222" customFormat="1" ht="95.25" customHeight="1">
      <c r="A52" s="221"/>
      <c r="B52" s="631" t="s">
        <v>438</v>
      </c>
      <c r="C52" s="238">
        <v>252.9</v>
      </c>
      <c r="D52" s="238">
        <v>263.10000000000002</v>
      </c>
      <c r="E52" s="241">
        <v>953</v>
      </c>
    </row>
    <row r="53" spans="1:5" ht="114.75" customHeight="1">
      <c r="A53" s="221"/>
      <c r="B53" s="631" t="s">
        <v>434</v>
      </c>
      <c r="C53" s="238">
        <v>346.7</v>
      </c>
      <c r="D53" s="238">
        <v>346.7</v>
      </c>
      <c r="E53" s="241">
        <v>953</v>
      </c>
    </row>
    <row r="54" spans="1:5" ht="148.5" customHeight="1">
      <c r="A54" s="221"/>
      <c r="B54" s="631" t="s">
        <v>487</v>
      </c>
      <c r="C54" s="238">
        <v>30934.1</v>
      </c>
      <c r="D54" s="776">
        <f>32480.4-1546.3</f>
        <v>30934.100000000002</v>
      </c>
      <c r="E54" s="241">
        <v>921</v>
      </c>
    </row>
    <row r="55" spans="1:5" ht="245.25" customHeight="1">
      <c r="A55" s="221"/>
      <c r="B55" s="631" t="s">
        <v>732</v>
      </c>
      <c r="C55" s="238">
        <v>871</v>
      </c>
      <c r="D55" s="238">
        <v>871</v>
      </c>
      <c r="E55" s="241">
        <v>953</v>
      </c>
    </row>
    <row r="56" spans="1:5" ht="153" customHeight="1">
      <c r="A56" s="200"/>
      <c r="B56" s="631" t="s">
        <v>688</v>
      </c>
      <c r="C56" s="238">
        <v>187.9</v>
      </c>
      <c r="D56" s="238">
        <v>187.9</v>
      </c>
      <c r="E56" s="241">
        <v>902</v>
      </c>
    </row>
    <row r="57" spans="1:5" ht="96.75" customHeight="1">
      <c r="A57" s="221"/>
      <c r="B57" s="631" t="s">
        <v>414</v>
      </c>
      <c r="C57" s="238">
        <f>SUM(C58:C59)</f>
        <v>631553.80000000005</v>
      </c>
      <c r="D57" s="238">
        <f>SUM(D58:D59)</f>
        <v>631553.80000000005</v>
      </c>
    </row>
    <row r="58" spans="1:5" ht="20.25" customHeight="1">
      <c r="A58" s="221" t="s">
        <v>300</v>
      </c>
      <c r="B58" s="631" t="s">
        <v>302</v>
      </c>
      <c r="C58" s="236">
        <v>212697.8</v>
      </c>
      <c r="D58" s="236">
        <v>212697.8</v>
      </c>
      <c r="E58" s="241">
        <v>925</v>
      </c>
    </row>
    <row r="59" spans="1:5">
      <c r="A59" s="221"/>
      <c r="B59" s="632" t="s">
        <v>303</v>
      </c>
      <c r="C59" s="236">
        <v>418856</v>
      </c>
      <c r="D59" s="236">
        <v>418856</v>
      </c>
      <c r="E59" s="241">
        <v>925</v>
      </c>
    </row>
    <row r="60" spans="1:5" ht="224.25" customHeight="1">
      <c r="A60" s="221"/>
      <c r="B60" s="633" t="s">
        <v>889</v>
      </c>
      <c r="C60" s="238">
        <v>2358</v>
      </c>
      <c r="D60" s="238">
        <v>2358</v>
      </c>
      <c r="E60" s="241">
        <v>925</v>
      </c>
    </row>
    <row r="61" spans="1:5" ht="114.75" customHeight="1">
      <c r="A61" s="221"/>
      <c r="B61" s="631" t="s">
        <v>738</v>
      </c>
      <c r="C61" s="238">
        <v>6749.9</v>
      </c>
      <c r="D61" s="238">
        <v>6749.9</v>
      </c>
      <c r="E61" s="241">
        <v>925</v>
      </c>
    </row>
    <row r="62" spans="1:5" ht="56.25">
      <c r="A62" s="198" t="s">
        <v>560</v>
      </c>
      <c r="B62" s="231" t="s">
        <v>336</v>
      </c>
      <c r="C62" s="239">
        <f>C63</f>
        <v>59920.4</v>
      </c>
      <c r="D62" s="239">
        <f>D63</f>
        <v>61293</v>
      </c>
    </row>
    <row r="63" spans="1:5" ht="75">
      <c r="A63" s="198" t="s">
        <v>552</v>
      </c>
      <c r="B63" s="231" t="s">
        <v>337</v>
      </c>
      <c r="C63" s="239">
        <f>SUM(C64:C65)</f>
        <v>59920.4</v>
      </c>
      <c r="D63" s="239">
        <f>SUM(D64:D65)</f>
        <v>61293</v>
      </c>
    </row>
    <row r="64" spans="1:5" s="210" customFormat="1" ht="135" customHeight="1">
      <c r="A64" s="221"/>
      <c r="B64" s="631" t="s">
        <v>436</v>
      </c>
      <c r="C64" s="238">
        <v>34301.300000000003</v>
      </c>
      <c r="D64" s="238">
        <v>35673.9</v>
      </c>
      <c r="E64" s="241">
        <v>953</v>
      </c>
    </row>
    <row r="65" spans="1:5" s="210" customFormat="1" ht="90.75" customHeight="1">
      <c r="A65" s="221"/>
      <c r="B65" s="630" t="s">
        <v>437</v>
      </c>
      <c r="C65" s="238">
        <v>25619.1</v>
      </c>
      <c r="D65" s="238">
        <v>25619.1</v>
      </c>
      <c r="E65" s="241">
        <v>953</v>
      </c>
    </row>
    <row r="66" spans="1:5" s="210" customFormat="1" ht="98.25" customHeight="1">
      <c r="A66" s="198" t="s">
        <v>561</v>
      </c>
      <c r="B66" s="230" t="s">
        <v>299</v>
      </c>
      <c r="C66" s="239">
        <f>C67</f>
        <v>8034.2</v>
      </c>
      <c r="D66" s="239">
        <f>D67</f>
        <v>8034.2</v>
      </c>
      <c r="E66" s="241" t="s">
        <v>471</v>
      </c>
    </row>
    <row r="67" spans="1:5" ht="93" customHeight="1">
      <c r="A67" s="198" t="s">
        <v>551</v>
      </c>
      <c r="B67" s="230" t="s">
        <v>24</v>
      </c>
      <c r="C67" s="239">
        <v>8034.2</v>
      </c>
      <c r="D67" s="239">
        <v>8034.2</v>
      </c>
      <c r="E67" s="242">
        <v>925</v>
      </c>
    </row>
    <row r="68" spans="1:5" ht="79.5" customHeight="1">
      <c r="A68" s="198" t="s">
        <v>607</v>
      </c>
      <c r="B68" s="230" t="s">
        <v>608</v>
      </c>
      <c r="C68" s="239">
        <f>C69</f>
        <v>9268.6</v>
      </c>
      <c r="D68" s="239">
        <f>D69</f>
        <v>9268.6</v>
      </c>
      <c r="E68" s="242"/>
    </row>
    <row r="69" spans="1:5" ht="77.25" customHeight="1">
      <c r="A69" s="198" t="s">
        <v>548</v>
      </c>
      <c r="B69" s="230" t="s">
        <v>19</v>
      </c>
      <c r="C69" s="239">
        <v>9268.6</v>
      </c>
      <c r="D69" s="239">
        <v>9268.6</v>
      </c>
      <c r="E69" s="242">
        <v>921</v>
      </c>
    </row>
    <row r="70" spans="1:5" ht="75">
      <c r="A70" s="200" t="s">
        <v>562</v>
      </c>
      <c r="B70" s="618" t="s">
        <v>486</v>
      </c>
      <c r="C70" s="235">
        <f>C71</f>
        <v>98.4</v>
      </c>
      <c r="D70" s="235">
        <f>D71</f>
        <v>5.7</v>
      </c>
    </row>
    <row r="71" spans="1:5" ht="75" customHeight="1">
      <c r="A71" s="200" t="s">
        <v>544</v>
      </c>
      <c r="B71" s="618" t="s">
        <v>455</v>
      </c>
      <c r="C71" s="235">
        <v>98.4</v>
      </c>
      <c r="D71" s="235">
        <v>5.7</v>
      </c>
      <c r="E71" s="241">
        <v>902</v>
      </c>
    </row>
    <row r="72" spans="1:5" ht="28.5" customHeight="1">
      <c r="A72" s="200" t="s">
        <v>579</v>
      </c>
      <c r="B72" s="618" t="s">
        <v>691</v>
      </c>
      <c r="C72" s="235">
        <f>C73</f>
        <v>36560.199999999997</v>
      </c>
      <c r="D72" s="235">
        <f>D73</f>
        <v>36560.199999999997</v>
      </c>
    </row>
    <row r="73" spans="1:5" ht="90.75" customHeight="1">
      <c r="A73" s="200" t="s">
        <v>890</v>
      </c>
      <c r="B73" s="618" t="s">
        <v>891</v>
      </c>
      <c r="C73" s="235">
        <f>C74</f>
        <v>36560.199999999997</v>
      </c>
      <c r="D73" s="235">
        <f>D74</f>
        <v>36560.199999999997</v>
      </c>
    </row>
    <row r="74" spans="1:5" ht="96" customHeight="1">
      <c r="A74" s="200" t="s">
        <v>762</v>
      </c>
      <c r="B74" s="618" t="s">
        <v>798</v>
      </c>
      <c r="C74" s="235">
        <v>36560.199999999997</v>
      </c>
      <c r="D74" s="235">
        <v>36560.199999999997</v>
      </c>
      <c r="E74" s="241">
        <v>925</v>
      </c>
    </row>
    <row r="75" spans="1:5">
      <c r="A75" s="247"/>
      <c r="B75" s="389"/>
      <c r="C75" s="390"/>
      <c r="D75" s="390"/>
    </row>
    <row r="76" spans="1:5">
      <c r="A76" s="223"/>
      <c r="B76" s="224"/>
      <c r="C76" s="225"/>
    </row>
    <row r="77" spans="1:5">
      <c r="A77" s="205" t="s">
        <v>467</v>
      </c>
      <c r="B77" s="206"/>
      <c r="C77" s="207"/>
      <c r="D77" s="207"/>
      <c r="E77" s="523"/>
    </row>
    <row r="78" spans="1:5">
      <c r="A78" s="205" t="s">
        <v>468</v>
      </c>
      <c r="B78" s="206"/>
      <c r="C78" s="207"/>
      <c r="D78" s="207"/>
      <c r="E78" s="523"/>
    </row>
    <row r="79" spans="1:5">
      <c r="A79" s="211" t="s">
        <v>469</v>
      </c>
      <c r="B79" s="206"/>
      <c r="C79" s="210"/>
      <c r="D79" s="212" t="s">
        <v>494</v>
      </c>
      <c r="E79" s="523"/>
    </row>
    <row r="413" spans="9:10">
      <c r="I413" s="193">
        <v>135.4</v>
      </c>
      <c r="J413" s="193">
        <v>140.9</v>
      </c>
    </row>
    <row r="414" spans="9:10">
      <c r="I414" s="193">
        <v>27088.9</v>
      </c>
      <c r="J414" s="193">
        <v>28171.4</v>
      </c>
    </row>
  </sheetData>
  <autoFilter ref="A12:J74"/>
  <mergeCells count="4">
    <mergeCell ref="C10:D10"/>
    <mergeCell ref="A10:A11"/>
    <mergeCell ref="B10:B11"/>
    <mergeCell ref="A7:D7"/>
  </mergeCells>
  <printOptions horizontalCentered="1"/>
  <pageMargins left="1.1811023622047245" right="0.39370078740157483" top="0.6692913385826772" bottom="0.39370078740157483" header="0.31496062992125984" footer="0"/>
  <pageSetup paperSize="9" scale="67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N56"/>
  <sheetViews>
    <sheetView zoomScaleSheetLayoutView="85" workbookViewId="0">
      <selection activeCell="C2" sqref="C2"/>
    </sheetView>
  </sheetViews>
  <sheetFormatPr defaultColWidth="9.140625" defaultRowHeight="18.75"/>
  <cols>
    <col min="1" max="1" width="28.140625" style="3" customWidth="1"/>
    <col min="2" max="2" width="78.7109375" style="3" customWidth="1"/>
    <col min="3" max="3" width="16" style="4" customWidth="1"/>
    <col min="4" max="4" width="17.42578125" style="4" customWidth="1"/>
    <col min="5" max="5" width="15.140625" style="4" customWidth="1"/>
    <col min="6" max="6" width="14.28515625" style="12" customWidth="1"/>
    <col min="7" max="7" width="14.5703125" style="3" customWidth="1"/>
    <col min="8" max="8" width="20.7109375" style="3" customWidth="1"/>
    <col min="9" max="9" width="30.7109375" style="3" customWidth="1"/>
    <col min="10" max="16384" width="9.140625" style="3"/>
  </cols>
  <sheetData>
    <row r="1" spans="1:8" s="620" customFormat="1">
      <c r="C1" s="49" t="s">
        <v>470</v>
      </c>
      <c r="D1" s="4"/>
      <c r="E1" s="4"/>
      <c r="F1" s="12"/>
    </row>
    <row r="2" spans="1:8" s="620" customFormat="1">
      <c r="C2" s="49" t="s">
        <v>1017</v>
      </c>
      <c r="D2" s="4"/>
      <c r="E2" s="4"/>
      <c r="F2" s="12"/>
    </row>
    <row r="3" spans="1:8" s="620" customFormat="1">
      <c r="C3" s="4"/>
      <c r="D3" s="4"/>
      <c r="E3" s="4"/>
      <c r="F3" s="12"/>
    </row>
    <row r="4" spans="1:8">
      <c r="C4" s="49" t="s">
        <v>470</v>
      </c>
    </row>
    <row r="5" spans="1:8">
      <c r="C5" s="496" t="s">
        <v>922</v>
      </c>
    </row>
    <row r="6" spans="1:8" ht="12.75" customHeight="1"/>
    <row r="7" spans="1:8" ht="12.75" customHeight="1">
      <c r="F7" s="5"/>
    </row>
    <row r="8" spans="1:8" ht="84.75" customHeight="1">
      <c r="A8" s="828" t="s">
        <v>783</v>
      </c>
      <c r="B8" s="828"/>
      <c r="C8" s="828"/>
      <c r="D8" s="379"/>
      <c r="E8" s="379"/>
      <c r="F8" s="379"/>
      <c r="G8" s="7"/>
      <c r="H8" s="7"/>
    </row>
    <row r="9" spans="1:8" ht="14.25" customHeight="1">
      <c r="A9" s="380"/>
      <c r="B9" s="380"/>
      <c r="C9" s="379"/>
      <c r="D9" s="379"/>
      <c r="E9" s="379"/>
      <c r="F9" s="379"/>
      <c r="G9" s="7"/>
      <c r="H9" s="7"/>
    </row>
    <row r="10" spans="1:8">
      <c r="C10" s="8" t="s">
        <v>42</v>
      </c>
      <c r="F10" s="8"/>
    </row>
    <row r="11" spans="1:8" s="193" customFormat="1">
      <c r="A11" s="200" t="s">
        <v>31</v>
      </c>
      <c r="B11" s="200" t="s">
        <v>32</v>
      </c>
      <c r="C11" s="216" t="s">
        <v>33</v>
      </c>
      <c r="D11" s="213"/>
    </row>
    <row r="12" spans="1:8" s="193" customFormat="1">
      <c r="A12" s="200">
        <v>1</v>
      </c>
      <c r="B12" s="200">
        <v>2</v>
      </c>
      <c r="C12" s="218">
        <v>3</v>
      </c>
      <c r="D12" s="213"/>
    </row>
    <row r="13" spans="1:8" s="193" customFormat="1">
      <c r="A13" s="203" t="s">
        <v>34</v>
      </c>
      <c r="B13" s="219" t="s">
        <v>367</v>
      </c>
      <c r="C13" s="220">
        <f>C14</f>
        <v>2062.6</v>
      </c>
      <c r="D13" s="240"/>
    </row>
    <row r="14" spans="1:8" s="193" customFormat="1" ht="37.5">
      <c r="A14" s="200" t="s">
        <v>35</v>
      </c>
      <c r="B14" s="230" t="s">
        <v>36</v>
      </c>
      <c r="C14" s="235">
        <f>C15</f>
        <v>2062.6</v>
      </c>
      <c r="D14" s="240"/>
    </row>
    <row r="15" spans="1:8">
      <c r="A15" s="15" t="s">
        <v>579</v>
      </c>
      <c r="B15" s="66" t="s">
        <v>691</v>
      </c>
      <c r="C15" s="381">
        <f>C16</f>
        <v>2062.6</v>
      </c>
      <c r="D15" s="3"/>
      <c r="E15" s="3"/>
      <c r="F15" s="3"/>
    </row>
    <row r="16" spans="1:8" ht="75">
      <c r="A16" s="15" t="s">
        <v>692</v>
      </c>
      <c r="B16" s="66" t="s">
        <v>693</v>
      </c>
      <c r="C16" s="381">
        <f>C17</f>
        <v>2062.6</v>
      </c>
      <c r="D16" s="3"/>
      <c r="E16" s="3"/>
      <c r="F16" s="3"/>
    </row>
    <row r="17" spans="1:6" ht="93.75">
      <c r="A17" s="15" t="s">
        <v>547</v>
      </c>
      <c r="B17" s="66" t="s">
        <v>16</v>
      </c>
      <c r="C17" s="381">
        <f>C18+C31+C41</f>
        <v>2062.6</v>
      </c>
      <c r="D17" s="3"/>
      <c r="E17" s="3"/>
      <c r="F17" s="3"/>
    </row>
    <row r="18" spans="1:6" ht="37.5">
      <c r="A18" s="15"/>
      <c r="B18" s="66" t="s">
        <v>258</v>
      </c>
      <c r="C18" s="71">
        <f>SUM(C19:C30)</f>
        <v>914.3</v>
      </c>
      <c r="D18" s="3"/>
      <c r="E18" s="3"/>
      <c r="F18" s="3"/>
    </row>
    <row r="19" spans="1:6">
      <c r="A19" s="15"/>
      <c r="B19" s="382" t="s">
        <v>370</v>
      </c>
      <c r="C19" s="383">
        <v>475</v>
      </c>
      <c r="D19" s="3"/>
      <c r="E19" s="3"/>
      <c r="F19" s="3"/>
    </row>
    <row r="20" spans="1:6">
      <c r="A20" s="15"/>
      <c r="B20" s="382" t="s">
        <v>371</v>
      </c>
      <c r="C20" s="383">
        <v>75.900000000000006</v>
      </c>
      <c r="D20" s="3"/>
      <c r="E20" s="3"/>
      <c r="F20" s="3"/>
    </row>
    <row r="21" spans="1:6">
      <c r="A21" s="15"/>
      <c r="B21" s="382" t="s">
        <v>372</v>
      </c>
      <c r="C21" s="383">
        <v>164.7</v>
      </c>
      <c r="D21" s="3"/>
      <c r="E21" s="3"/>
      <c r="F21" s="3"/>
    </row>
    <row r="22" spans="1:6">
      <c r="A22" s="15"/>
      <c r="B22" s="382" t="s">
        <v>373</v>
      </c>
      <c r="C22" s="383">
        <v>42</v>
      </c>
      <c r="D22" s="3"/>
      <c r="E22" s="3"/>
      <c r="F22" s="3"/>
    </row>
    <row r="23" spans="1:6">
      <c r="A23" s="15"/>
      <c r="B23" s="382" t="s">
        <v>283</v>
      </c>
      <c r="C23" s="383">
        <v>27.3</v>
      </c>
      <c r="D23" s="3"/>
      <c r="E23" s="3"/>
      <c r="F23" s="3"/>
    </row>
    <row r="24" spans="1:6">
      <c r="A24" s="15"/>
      <c r="B24" s="382" t="s">
        <v>374</v>
      </c>
      <c r="C24" s="383">
        <v>18.7</v>
      </c>
      <c r="D24" s="3"/>
      <c r="E24" s="3"/>
      <c r="F24" s="3"/>
    </row>
    <row r="25" spans="1:6">
      <c r="A25" s="15"/>
      <c r="B25" s="382" t="s">
        <v>375</v>
      </c>
      <c r="C25" s="383">
        <v>23.7</v>
      </c>
      <c r="D25" s="3"/>
      <c r="E25" s="3"/>
      <c r="F25" s="3"/>
    </row>
    <row r="26" spans="1:6">
      <c r="A26" s="15"/>
      <c r="B26" s="382" t="s">
        <v>285</v>
      </c>
      <c r="C26" s="383">
        <v>26.7</v>
      </c>
      <c r="D26" s="3"/>
      <c r="E26" s="3"/>
      <c r="F26" s="3"/>
    </row>
    <row r="27" spans="1:6">
      <c r="A27" s="15"/>
      <c r="B27" s="382" t="s">
        <v>286</v>
      </c>
      <c r="C27" s="383">
        <v>14.5</v>
      </c>
      <c r="D27" s="3"/>
      <c r="E27" s="3"/>
      <c r="F27" s="3"/>
    </row>
    <row r="28" spans="1:6">
      <c r="A28" s="15"/>
      <c r="B28" s="382" t="s">
        <v>287</v>
      </c>
      <c r="C28" s="383">
        <v>7.5</v>
      </c>
      <c r="D28" s="3"/>
      <c r="E28" s="3"/>
      <c r="F28" s="3"/>
    </row>
    <row r="29" spans="1:6">
      <c r="A29" s="15"/>
      <c r="B29" s="382" t="s">
        <v>288</v>
      </c>
      <c r="C29" s="383">
        <v>20.8</v>
      </c>
      <c r="D29" s="3"/>
      <c r="E29" s="3"/>
      <c r="F29" s="3"/>
    </row>
    <row r="30" spans="1:6">
      <c r="A30" s="15"/>
      <c r="B30" s="382" t="s">
        <v>289</v>
      </c>
      <c r="C30" s="383">
        <v>17.5</v>
      </c>
      <c r="D30" s="3"/>
      <c r="E30" s="3"/>
      <c r="F30" s="3"/>
    </row>
    <row r="31" spans="1:6" ht="37.5">
      <c r="A31" s="15"/>
      <c r="B31" s="66" t="s">
        <v>237</v>
      </c>
      <c r="C31" s="71">
        <f>SUM(C32:C40)</f>
        <v>441</v>
      </c>
      <c r="D31" s="3"/>
      <c r="E31" s="3"/>
      <c r="F31" s="3"/>
    </row>
    <row r="32" spans="1:6">
      <c r="A32" s="15"/>
      <c r="B32" s="382" t="s">
        <v>371</v>
      </c>
      <c r="C32" s="383">
        <v>70</v>
      </c>
      <c r="D32" s="3"/>
      <c r="E32" s="3"/>
      <c r="F32" s="3"/>
    </row>
    <row r="33" spans="1:9">
      <c r="A33" s="15"/>
      <c r="B33" s="382" t="s">
        <v>373</v>
      </c>
      <c r="C33" s="383">
        <v>60</v>
      </c>
      <c r="D33" s="3"/>
      <c r="E33" s="3"/>
      <c r="F33" s="3"/>
    </row>
    <row r="34" spans="1:9">
      <c r="A34" s="15"/>
      <c r="B34" s="382" t="s">
        <v>283</v>
      </c>
      <c r="C34" s="383">
        <v>100</v>
      </c>
      <c r="D34" s="3"/>
      <c r="E34" s="3"/>
      <c r="F34" s="3"/>
    </row>
    <row r="35" spans="1:9">
      <c r="A35" s="15"/>
      <c r="B35" s="382" t="s">
        <v>374</v>
      </c>
      <c r="C35" s="383">
        <v>66</v>
      </c>
      <c r="D35" s="3"/>
      <c r="E35" s="3"/>
      <c r="F35" s="3"/>
    </row>
    <row r="36" spans="1:9">
      <c r="A36" s="15"/>
      <c r="B36" s="382" t="s">
        <v>375</v>
      </c>
      <c r="C36" s="383">
        <v>15</v>
      </c>
      <c r="D36" s="3"/>
      <c r="E36" s="3"/>
      <c r="F36" s="3"/>
    </row>
    <row r="37" spans="1:9">
      <c r="A37" s="15"/>
      <c r="B37" s="382" t="s">
        <v>285</v>
      </c>
      <c r="C37" s="383">
        <v>15</v>
      </c>
      <c r="D37" s="3"/>
      <c r="E37" s="3"/>
      <c r="F37" s="3"/>
    </row>
    <row r="38" spans="1:9">
      <c r="A38" s="15"/>
      <c r="B38" s="382" t="s">
        <v>286</v>
      </c>
      <c r="C38" s="383">
        <v>55</v>
      </c>
      <c r="D38" s="3"/>
      <c r="E38" s="3"/>
      <c r="F38" s="3"/>
    </row>
    <row r="39" spans="1:9">
      <c r="A39" s="15"/>
      <c r="B39" s="382" t="s">
        <v>287</v>
      </c>
      <c r="C39" s="383">
        <v>5</v>
      </c>
      <c r="D39" s="3"/>
      <c r="E39" s="3"/>
      <c r="F39" s="3"/>
    </row>
    <row r="40" spans="1:9">
      <c r="A40" s="15"/>
      <c r="B40" s="382" t="s">
        <v>288</v>
      </c>
      <c r="C40" s="383">
        <v>55</v>
      </c>
      <c r="D40" s="3"/>
      <c r="E40" s="3"/>
      <c r="F40" s="3"/>
    </row>
    <row r="41" spans="1:9" ht="37.5">
      <c r="A41" s="15"/>
      <c r="B41" s="66" t="s">
        <v>463</v>
      </c>
      <c r="C41" s="71">
        <f>SUM(C42:C51)</f>
        <v>707.30000000000007</v>
      </c>
      <c r="D41" s="3"/>
      <c r="E41" s="3"/>
      <c r="F41" s="3"/>
    </row>
    <row r="42" spans="1:9">
      <c r="A42" s="15"/>
      <c r="B42" s="382" t="s">
        <v>370</v>
      </c>
      <c r="C42" s="383">
        <v>312.10000000000002</v>
      </c>
      <c r="D42" s="3"/>
      <c r="E42" s="3"/>
      <c r="F42" s="3"/>
    </row>
    <row r="43" spans="1:9">
      <c r="A43" s="384"/>
      <c r="B43" s="382" t="s">
        <v>372</v>
      </c>
      <c r="C43" s="383">
        <v>177</v>
      </c>
      <c r="F43" s="8"/>
    </row>
    <row r="44" spans="1:9">
      <c r="A44" s="384"/>
      <c r="B44" s="382" t="s">
        <v>373</v>
      </c>
      <c r="C44" s="383">
        <v>26.7</v>
      </c>
      <c r="F44" s="8"/>
    </row>
    <row r="45" spans="1:9">
      <c r="A45" s="384"/>
      <c r="B45" s="382" t="s">
        <v>283</v>
      </c>
      <c r="C45" s="383">
        <v>47.1</v>
      </c>
      <c r="F45" s="8"/>
    </row>
    <row r="46" spans="1:9">
      <c r="A46" s="384"/>
      <c r="B46" s="382" t="s">
        <v>374</v>
      </c>
      <c r="C46" s="383">
        <v>26.7</v>
      </c>
      <c r="F46" s="8"/>
    </row>
    <row r="47" spans="1:9">
      <c r="A47" s="384"/>
      <c r="B47" s="382" t="s">
        <v>375</v>
      </c>
      <c r="C47" s="383">
        <v>17.8</v>
      </c>
    </row>
    <row r="48" spans="1:9" s="24" customFormat="1">
      <c r="A48" s="385"/>
      <c r="B48" s="382" t="s">
        <v>286</v>
      </c>
      <c r="C48" s="383">
        <v>24.7</v>
      </c>
      <c r="D48" s="27"/>
      <c r="E48" s="27"/>
      <c r="F48" s="27"/>
      <c r="G48" s="28"/>
      <c r="H48" s="29"/>
      <c r="I48" s="25"/>
    </row>
    <row r="49" spans="1:14" s="24" customFormat="1">
      <c r="A49" s="385"/>
      <c r="B49" s="382" t="s">
        <v>287</v>
      </c>
      <c r="C49" s="383">
        <v>9.8000000000000007</v>
      </c>
      <c r="D49" s="27"/>
      <c r="E49" s="27"/>
      <c r="F49" s="27"/>
      <c r="G49" s="28"/>
      <c r="H49" s="29"/>
      <c r="I49" s="25"/>
    </row>
    <row r="50" spans="1:14" s="24" customFormat="1">
      <c r="A50" s="385"/>
      <c r="B50" s="382" t="s">
        <v>288</v>
      </c>
      <c r="C50" s="383">
        <v>39.6</v>
      </c>
      <c r="D50" s="27"/>
      <c r="E50" s="27"/>
      <c r="G50" s="28"/>
    </row>
    <row r="51" spans="1:14">
      <c r="A51" s="384"/>
      <c r="B51" s="382" t="s">
        <v>289</v>
      </c>
      <c r="C51" s="383">
        <v>25.8</v>
      </c>
    </row>
    <row r="52" spans="1:14" ht="14.25" customHeight="1">
      <c r="A52" s="386"/>
      <c r="B52" s="387"/>
      <c r="C52" s="388"/>
    </row>
    <row r="53" spans="1:14" ht="15" customHeight="1">
      <c r="G53" s="9"/>
      <c r="H53" s="9"/>
      <c r="I53" s="9"/>
      <c r="J53" s="11"/>
      <c r="K53" s="11"/>
      <c r="L53" s="11"/>
      <c r="M53" s="13"/>
      <c r="N53" s="11"/>
    </row>
    <row r="54" spans="1:14">
      <c r="A54" s="90" t="s">
        <v>467</v>
      </c>
      <c r="C54" s="23" t="s">
        <v>494</v>
      </c>
      <c r="D54" s="6"/>
      <c r="E54" s="6"/>
      <c r="F54" s="14"/>
    </row>
    <row r="55" spans="1:14">
      <c r="A55" s="90" t="s">
        <v>468</v>
      </c>
    </row>
    <row r="56" spans="1:14">
      <c r="A56" s="91" t="s">
        <v>469</v>
      </c>
    </row>
  </sheetData>
  <mergeCells count="1">
    <mergeCell ref="A8:C8"/>
  </mergeCells>
  <printOptions horizontalCentered="1"/>
  <pageMargins left="1.1811023622047245" right="0.39370078740157483" top="0.78740157480314965" bottom="0.78740157480314965" header="0" footer="0"/>
  <pageSetup paperSize="9" scale="69" fitToHeight="0" orientation="portrait" blackAndWhite="1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E70"/>
  <sheetViews>
    <sheetView zoomScale="80" zoomScaleNormal="80" zoomScaleSheetLayoutView="80" workbookViewId="0">
      <selection activeCell="E2" sqref="E2"/>
    </sheetView>
  </sheetViews>
  <sheetFormatPr defaultColWidth="9.140625" defaultRowHeight="18.75"/>
  <cols>
    <col min="1" max="1" width="16.7109375" style="715" customWidth="1"/>
    <col min="2" max="2" width="60.7109375" style="18" customWidth="1"/>
    <col min="3" max="3" width="13.42578125" style="18" customWidth="1"/>
    <col min="4" max="4" width="16.28515625" style="18" customWidth="1"/>
    <col min="5" max="5" width="15.7109375" style="20" customWidth="1"/>
    <col min="6" max="6" width="8.140625" style="18" customWidth="1"/>
    <col min="7" max="7" width="22.85546875" style="18" customWidth="1"/>
    <col min="8" max="16384" width="9.140625" style="18"/>
  </cols>
  <sheetData>
    <row r="1" spans="1:5" ht="18" customHeight="1">
      <c r="A1" s="829" t="s">
        <v>997</v>
      </c>
      <c r="B1" s="829"/>
      <c r="C1" s="829"/>
      <c r="D1" s="829"/>
      <c r="E1" s="829"/>
    </row>
    <row r="2" spans="1:5">
      <c r="A2" s="18"/>
      <c r="E2" s="496" t="s">
        <v>1017</v>
      </c>
    </row>
    <row r="4" spans="1:5" ht="18" customHeight="1">
      <c r="A4" s="829" t="s">
        <v>577</v>
      </c>
      <c r="B4" s="829"/>
      <c r="C4" s="829"/>
      <c r="D4" s="829"/>
      <c r="E4" s="829"/>
    </row>
    <row r="5" spans="1:5">
      <c r="A5" s="18"/>
      <c r="E5" s="496" t="s">
        <v>922</v>
      </c>
    </row>
    <row r="6" spans="1:5">
      <c r="B6" s="19"/>
      <c r="C6" s="19"/>
      <c r="D6" s="19"/>
    </row>
    <row r="7" spans="1:5">
      <c r="A7" s="835" t="s">
        <v>498</v>
      </c>
      <c r="B7" s="833"/>
      <c r="C7" s="833"/>
      <c r="D7" s="833"/>
      <c r="E7" s="833"/>
    </row>
    <row r="8" spans="1:5">
      <c r="A8" s="835" t="s">
        <v>499</v>
      </c>
      <c r="B8" s="833"/>
      <c r="C8" s="833"/>
      <c r="D8" s="833"/>
      <c r="E8" s="833"/>
    </row>
    <row r="9" spans="1:5">
      <c r="A9" s="835" t="s">
        <v>792</v>
      </c>
      <c r="B9" s="833"/>
      <c r="C9" s="833"/>
      <c r="D9" s="833"/>
      <c r="E9" s="833"/>
    </row>
    <row r="10" spans="1:5">
      <c r="B10" s="711"/>
      <c r="C10" s="711"/>
      <c r="D10" s="711"/>
      <c r="E10" s="711"/>
    </row>
    <row r="11" spans="1:5">
      <c r="B11" s="19"/>
      <c r="E11" s="39" t="s">
        <v>567</v>
      </c>
    </row>
    <row r="12" spans="1:5" ht="56.25">
      <c r="A12" s="716" t="s">
        <v>31</v>
      </c>
      <c r="B12" s="712" t="s">
        <v>32</v>
      </c>
      <c r="C12" s="712" t="s">
        <v>500</v>
      </c>
      <c r="D12" s="712" t="s">
        <v>502</v>
      </c>
      <c r="E12" s="712" t="s">
        <v>501</v>
      </c>
    </row>
    <row r="13" spans="1:5">
      <c r="A13" s="717">
        <v>1</v>
      </c>
      <c r="B13" s="62">
        <v>2</v>
      </c>
      <c r="C13" s="62">
        <v>3</v>
      </c>
      <c r="D13" s="62">
        <v>4</v>
      </c>
      <c r="E13" s="63">
        <v>5</v>
      </c>
    </row>
    <row r="14" spans="1:5" ht="56.25">
      <c r="A14" s="718"/>
      <c r="B14" s="535" t="s">
        <v>503</v>
      </c>
      <c r="C14" s="536"/>
      <c r="D14" s="537"/>
      <c r="E14" s="538"/>
    </row>
    <row r="15" spans="1:5" ht="40.5" customHeight="1">
      <c r="A15" s="716" t="s">
        <v>933</v>
      </c>
      <c r="B15" s="539" t="s">
        <v>504</v>
      </c>
      <c r="C15" s="536">
        <v>100</v>
      </c>
      <c r="D15" s="540"/>
      <c r="E15" s="541"/>
    </row>
    <row r="16" spans="1:5" ht="42" customHeight="1">
      <c r="A16" s="716" t="s">
        <v>934</v>
      </c>
      <c r="B16" s="539" t="s">
        <v>505</v>
      </c>
      <c r="C16" s="536">
        <v>100</v>
      </c>
      <c r="D16" s="542"/>
      <c r="E16" s="543"/>
    </row>
    <row r="17" spans="1:5" ht="97.5" customHeight="1">
      <c r="A17" s="716" t="s">
        <v>935</v>
      </c>
      <c r="B17" s="539" t="s">
        <v>506</v>
      </c>
      <c r="C17" s="536">
        <v>100</v>
      </c>
      <c r="D17" s="544"/>
      <c r="E17" s="541"/>
    </row>
    <row r="18" spans="1:5" ht="62.25" customHeight="1">
      <c r="A18" s="716" t="s">
        <v>936</v>
      </c>
      <c r="B18" s="539" t="s">
        <v>507</v>
      </c>
      <c r="C18" s="536">
        <v>100</v>
      </c>
      <c r="D18" s="544"/>
      <c r="E18" s="541"/>
    </row>
    <row r="19" spans="1:5" ht="42" customHeight="1">
      <c r="A19" s="716" t="s">
        <v>937</v>
      </c>
      <c r="B19" s="539" t="s">
        <v>508</v>
      </c>
      <c r="C19" s="536">
        <v>100</v>
      </c>
      <c r="D19" s="544"/>
      <c r="E19" s="541"/>
    </row>
    <row r="20" spans="1:5" ht="45" customHeight="1">
      <c r="A20" s="716"/>
      <c r="B20" s="535" t="s">
        <v>509</v>
      </c>
      <c r="C20" s="545"/>
      <c r="D20" s="544"/>
      <c r="E20" s="541"/>
    </row>
    <row r="21" spans="1:5" ht="43.5" customHeight="1">
      <c r="A21" s="716" t="s">
        <v>938</v>
      </c>
      <c r="B21" s="539" t="s">
        <v>510</v>
      </c>
      <c r="C21" s="536" t="s">
        <v>70</v>
      </c>
      <c r="D21" s="544"/>
      <c r="E21" s="541"/>
    </row>
    <row r="22" spans="1:5" ht="42" customHeight="1">
      <c r="A22" s="716" t="s">
        <v>939</v>
      </c>
      <c r="B22" s="539" t="s">
        <v>512</v>
      </c>
      <c r="C22" s="546"/>
      <c r="D22" s="536">
        <v>100</v>
      </c>
      <c r="E22" s="543"/>
    </row>
    <row r="23" spans="1:5" ht="40.5" customHeight="1">
      <c r="A23" s="716" t="s">
        <v>940</v>
      </c>
      <c r="B23" s="539" t="s">
        <v>511</v>
      </c>
      <c r="C23" s="545"/>
      <c r="D23" s="544"/>
      <c r="E23" s="536">
        <v>100</v>
      </c>
    </row>
    <row r="24" spans="1:5" ht="38.25" customHeight="1">
      <c r="A24" s="716"/>
      <c r="B24" s="535" t="s">
        <v>568</v>
      </c>
      <c r="C24" s="545"/>
      <c r="D24" s="544"/>
      <c r="E24" s="541"/>
    </row>
    <row r="25" spans="1:5" ht="58.5" customHeight="1">
      <c r="A25" s="716" t="s">
        <v>941</v>
      </c>
      <c r="B25" s="539" t="s">
        <v>30</v>
      </c>
      <c r="C25" s="536" t="s">
        <v>70</v>
      </c>
      <c r="D25" s="542"/>
      <c r="E25" s="543"/>
    </row>
    <row r="26" spans="1:5" ht="59.25" customHeight="1">
      <c r="A26" s="716" t="s">
        <v>942</v>
      </c>
      <c r="B26" s="539" t="s">
        <v>514</v>
      </c>
      <c r="C26" s="545"/>
      <c r="D26" s="536">
        <v>100</v>
      </c>
      <c r="E26" s="541"/>
    </row>
    <row r="27" spans="1:5" ht="59.25" customHeight="1">
      <c r="A27" s="716" t="s">
        <v>943</v>
      </c>
      <c r="B27" s="539" t="s">
        <v>513</v>
      </c>
      <c r="C27" s="545"/>
      <c r="D27" s="544"/>
      <c r="E27" s="536">
        <v>100</v>
      </c>
    </row>
    <row r="28" spans="1:5" ht="59.25" customHeight="1">
      <c r="A28" s="716" t="s">
        <v>944</v>
      </c>
      <c r="B28" s="539" t="s">
        <v>515</v>
      </c>
      <c r="C28" s="536" t="s">
        <v>70</v>
      </c>
      <c r="D28" s="544"/>
      <c r="E28" s="541"/>
    </row>
    <row r="29" spans="1:5" ht="59.25" customHeight="1">
      <c r="A29" s="716" t="s">
        <v>945</v>
      </c>
      <c r="B29" s="539" t="s">
        <v>517</v>
      </c>
      <c r="C29" s="546"/>
      <c r="D29" s="536">
        <v>100</v>
      </c>
      <c r="E29" s="543"/>
    </row>
    <row r="30" spans="1:5" ht="58.5" customHeight="1">
      <c r="A30" s="716" t="s">
        <v>946</v>
      </c>
      <c r="B30" s="539" t="s">
        <v>516</v>
      </c>
      <c r="C30" s="547"/>
      <c r="D30" s="548"/>
      <c r="E30" s="536">
        <v>100</v>
      </c>
    </row>
    <row r="31" spans="1:5" ht="39.75" customHeight="1">
      <c r="A31" s="716" t="s">
        <v>947</v>
      </c>
      <c r="B31" s="539" t="s">
        <v>518</v>
      </c>
      <c r="C31" s="536" t="s">
        <v>70</v>
      </c>
      <c r="D31" s="548"/>
      <c r="E31" s="549"/>
    </row>
    <row r="32" spans="1:5" ht="40.5" customHeight="1">
      <c r="A32" s="716" t="s">
        <v>948</v>
      </c>
      <c r="B32" s="539" t="s">
        <v>520</v>
      </c>
      <c r="C32" s="547"/>
      <c r="D32" s="536">
        <v>100</v>
      </c>
      <c r="E32" s="549"/>
    </row>
    <row r="33" spans="1:5" ht="40.5" customHeight="1">
      <c r="A33" s="716" t="s">
        <v>949</v>
      </c>
      <c r="B33" s="539" t="s">
        <v>519</v>
      </c>
      <c r="C33" s="546"/>
      <c r="D33" s="542"/>
      <c r="E33" s="536">
        <v>100</v>
      </c>
    </row>
    <row r="34" spans="1:5">
      <c r="A34" s="716"/>
      <c r="B34" s="535" t="s">
        <v>521</v>
      </c>
      <c r="C34" s="545"/>
      <c r="D34" s="544"/>
      <c r="E34" s="541"/>
    </row>
    <row r="35" spans="1:5" ht="63" customHeight="1">
      <c r="A35" s="716" t="s">
        <v>950</v>
      </c>
      <c r="B35" s="539" t="s">
        <v>522</v>
      </c>
      <c r="C35" s="536" t="s">
        <v>70</v>
      </c>
      <c r="D35" s="544"/>
      <c r="E35" s="541"/>
    </row>
    <row r="36" spans="1:5" ht="63" customHeight="1">
      <c r="A36" s="716" t="s">
        <v>951</v>
      </c>
      <c r="B36" s="539" t="s">
        <v>524</v>
      </c>
      <c r="C36" s="545"/>
      <c r="D36" s="536">
        <v>100</v>
      </c>
      <c r="E36" s="541"/>
    </row>
    <row r="37" spans="1:5" ht="60" customHeight="1">
      <c r="A37" s="716" t="s">
        <v>952</v>
      </c>
      <c r="B37" s="539" t="s">
        <v>523</v>
      </c>
      <c r="C37" s="545"/>
      <c r="D37" s="550"/>
      <c r="E37" s="536">
        <v>100</v>
      </c>
    </row>
    <row r="38" spans="1:5">
      <c r="A38" s="716"/>
      <c r="B38" s="535" t="s">
        <v>525</v>
      </c>
      <c r="C38" s="545"/>
      <c r="D38" s="544"/>
      <c r="E38" s="541"/>
    </row>
    <row r="39" spans="1:5" ht="234" customHeight="1">
      <c r="A39" s="716" t="s">
        <v>953</v>
      </c>
      <c r="B39" s="230" t="s">
        <v>629</v>
      </c>
      <c r="C39" s="551" t="s">
        <v>70</v>
      </c>
      <c r="D39" s="544"/>
      <c r="E39" s="541"/>
    </row>
    <row r="40" spans="1:5" ht="229.5" customHeight="1">
      <c r="A40" s="716" t="s">
        <v>954</v>
      </c>
      <c r="B40" s="230" t="s">
        <v>740</v>
      </c>
      <c r="C40" s="545"/>
      <c r="D40" s="536">
        <v>100</v>
      </c>
      <c r="E40" s="541"/>
    </row>
    <row r="41" spans="1:5" ht="233.25" customHeight="1">
      <c r="A41" s="716" t="s">
        <v>955</v>
      </c>
      <c r="B41" s="230" t="s">
        <v>739</v>
      </c>
      <c r="C41" s="545"/>
      <c r="D41" s="544"/>
      <c r="E41" s="552">
        <v>100</v>
      </c>
    </row>
    <row r="42" spans="1:5" ht="210" customHeight="1">
      <c r="A42" s="716" t="s">
        <v>956</v>
      </c>
      <c r="B42" s="230" t="s">
        <v>631</v>
      </c>
      <c r="C42" s="21" t="s">
        <v>70</v>
      </c>
      <c r="D42" s="544"/>
      <c r="E42" s="552"/>
    </row>
    <row r="43" spans="1:5" ht="213.75" customHeight="1">
      <c r="A43" s="716" t="s">
        <v>957</v>
      </c>
      <c r="B43" s="230" t="s">
        <v>742</v>
      </c>
      <c r="C43" s="551"/>
      <c r="D43" s="21">
        <v>100</v>
      </c>
      <c r="E43" s="552"/>
    </row>
    <row r="44" spans="1:5" ht="213" customHeight="1">
      <c r="A44" s="716" t="s">
        <v>958</v>
      </c>
      <c r="B44" s="230" t="s">
        <v>741</v>
      </c>
      <c r="C44" s="545"/>
      <c r="D44" s="536"/>
      <c r="E44" s="536">
        <v>100</v>
      </c>
    </row>
    <row r="45" spans="1:5" ht="81.75" customHeight="1">
      <c r="A45" s="716" t="s">
        <v>959</v>
      </c>
      <c r="B45" s="553" t="s">
        <v>725</v>
      </c>
      <c r="C45" s="21" t="s">
        <v>70</v>
      </c>
      <c r="D45" s="544"/>
      <c r="E45" s="552"/>
    </row>
    <row r="46" spans="1:5" ht="81.75" customHeight="1">
      <c r="A46" s="716" t="s">
        <v>960</v>
      </c>
      <c r="B46" s="553" t="s">
        <v>744</v>
      </c>
      <c r="C46" s="545"/>
      <c r="D46" s="21">
        <v>100</v>
      </c>
      <c r="E46" s="552"/>
    </row>
    <row r="47" spans="1:5" ht="81" customHeight="1">
      <c r="A47" s="716" t="s">
        <v>961</v>
      </c>
      <c r="B47" s="553" t="s">
        <v>743</v>
      </c>
      <c r="C47" s="545"/>
      <c r="D47" s="544"/>
      <c r="E47" s="21">
        <v>100</v>
      </c>
    </row>
    <row r="48" spans="1:5">
      <c r="A48" s="716"/>
      <c r="B48" s="535" t="s">
        <v>526</v>
      </c>
      <c r="C48" s="545"/>
      <c r="D48" s="544"/>
      <c r="E48" s="541"/>
    </row>
    <row r="49" spans="1:5" ht="42" customHeight="1">
      <c r="A49" s="716" t="s">
        <v>962</v>
      </c>
      <c r="B49" s="539" t="s">
        <v>2</v>
      </c>
      <c r="C49" s="536" t="s">
        <v>70</v>
      </c>
      <c r="D49" s="544"/>
      <c r="E49" s="541"/>
    </row>
    <row r="50" spans="1:5" ht="43.5" customHeight="1">
      <c r="A50" s="716" t="s">
        <v>963</v>
      </c>
      <c r="B50" s="539" t="s">
        <v>528</v>
      </c>
      <c r="C50" s="545"/>
      <c r="D50" s="536">
        <v>100</v>
      </c>
      <c r="E50" s="536"/>
    </row>
    <row r="51" spans="1:5" ht="43.5" customHeight="1">
      <c r="A51" s="716" t="s">
        <v>964</v>
      </c>
      <c r="B51" s="539" t="s">
        <v>527</v>
      </c>
      <c r="C51" s="545"/>
      <c r="D51" s="536"/>
      <c r="E51" s="536">
        <v>100</v>
      </c>
    </row>
    <row r="52" spans="1:5" ht="100.5" customHeight="1">
      <c r="A52" s="716" t="s">
        <v>965</v>
      </c>
      <c r="B52" s="539" t="s">
        <v>533</v>
      </c>
      <c r="C52" s="545"/>
      <c r="D52" s="536">
        <v>100</v>
      </c>
      <c r="E52" s="536"/>
    </row>
    <row r="53" spans="1:5" ht="100.5" customHeight="1">
      <c r="A53" s="716" t="s">
        <v>966</v>
      </c>
      <c r="B53" s="539" t="s">
        <v>532</v>
      </c>
      <c r="C53" s="545"/>
      <c r="D53" s="536"/>
      <c r="E53" s="536">
        <v>100</v>
      </c>
    </row>
    <row r="54" spans="1:5" ht="48" customHeight="1">
      <c r="A54" s="716" t="s">
        <v>967</v>
      </c>
      <c r="B54" s="539" t="s">
        <v>529</v>
      </c>
      <c r="C54" s="536" t="s">
        <v>70</v>
      </c>
      <c r="D54" s="544"/>
      <c r="E54" s="541"/>
    </row>
    <row r="55" spans="1:5" ht="44.25" customHeight="1">
      <c r="A55" s="716" t="s">
        <v>968</v>
      </c>
      <c r="B55" s="539" t="s">
        <v>531</v>
      </c>
      <c r="C55" s="545"/>
      <c r="D55" s="536">
        <v>100</v>
      </c>
      <c r="E55" s="541"/>
    </row>
    <row r="56" spans="1:5" ht="45.75" customHeight="1">
      <c r="A56" s="716" t="s">
        <v>969</v>
      </c>
      <c r="B56" s="539" t="s">
        <v>530</v>
      </c>
      <c r="C56" s="545"/>
      <c r="D56" s="536"/>
      <c r="E56" s="536">
        <v>100</v>
      </c>
    </row>
    <row r="57" spans="1:5" ht="45" customHeight="1">
      <c r="A57" s="716" t="s">
        <v>970</v>
      </c>
      <c r="B57" s="539" t="s">
        <v>534</v>
      </c>
      <c r="C57" s="536" t="s">
        <v>70</v>
      </c>
      <c r="D57" s="536"/>
      <c r="E57" s="541"/>
    </row>
    <row r="58" spans="1:5" ht="42" customHeight="1">
      <c r="A58" s="716" t="s">
        <v>971</v>
      </c>
      <c r="B58" s="539" t="s">
        <v>536</v>
      </c>
      <c r="C58" s="545"/>
      <c r="D58" s="536">
        <v>100</v>
      </c>
      <c r="E58" s="541"/>
    </row>
    <row r="59" spans="1:5" ht="45" customHeight="1">
      <c r="A59" s="716" t="s">
        <v>972</v>
      </c>
      <c r="B59" s="539" t="s">
        <v>535</v>
      </c>
      <c r="C59" s="545"/>
      <c r="D59" s="544"/>
      <c r="E59" s="536">
        <v>100</v>
      </c>
    </row>
    <row r="60" spans="1:5" ht="47.25" customHeight="1">
      <c r="A60" s="716" t="s">
        <v>973</v>
      </c>
      <c r="B60" s="539" t="s">
        <v>974</v>
      </c>
      <c r="C60" s="551" t="s">
        <v>70</v>
      </c>
      <c r="D60" s="544"/>
      <c r="E60" s="536"/>
    </row>
    <row r="61" spans="1:5" ht="45.75" customHeight="1">
      <c r="A61" s="716" t="s">
        <v>975</v>
      </c>
      <c r="B61" s="539" t="s">
        <v>976</v>
      </c>
      <c r="C61" s="545"/>
      <c r="D61" s="536">
        <v>100</v>
      </c>
      <c r="E61" s="536"/>
    </row>
    <row r="62" spans="1:5" ht="45.75" customHeight="1">
      <c r="A62" s="716" t="s">
        <v>977</v>
      </c>
      <c r="B62" s="539" t="s">
        <v>978</v>
      </c>
      <c r="C62" s="545"/>
      <c r="D62" s="544"/>
      <c r="E62" s="536">
        <v>100</v>
      </c>
    </row>
    <row r="63" spans="1:5">
      <c r="B63" s="186"/>
      <c r="C63" s="187"/>
      <c r="D63" s="84"/>
      <c r="E63" s="188"/>
    </row>
    <row r="65" spans="1:5">
      <c r="A65" s="830" t="s">
        <v>467</v>
      </c>
      <c r="B65" s="831"/>
      <c r="C65" s="26"/>
      <c r="D65" s="27"/>
      <c r="E65" s="27"/>
    </row>
    <row r="66" spans="1:5">
      <c r="A66" s="832" t="s">
        <v>468</v>
      </c>
      <c r="B66" s="833"/>
      <c r="C66" s="26"/>
      <c r="D66" s="27"/>
      <c r="E66" s="27"/>
    </row>
    <row r="67" spans="1:5">
      <c r="A67" s="834" t="s">
        <v>469</v>
      </c>
      <c r="B67" s="833"/>
      <c r="C67" s="26"/>
      <c r="D67" s="24"/>
      <c r="E67" s="23" t="s">
        <v>494</v>
      </c>
    </row>
    <row r="68" spans="1:5" ht="18">
      <c r="A68" s="18"/>
      <c r="E68" s="18"/>
    </row>
    <row r="69" spans="1:5" ht="18">
      <c r="A69" s="18"/>
      <c r="E69" s="18"/>
    </row>
    <row r="70" spans="1:5" ht="18">
      <c r="A70" s="18"/>
      <c r="E70" s="18"/>
    </row>
  </sheetData>
  <mergeCells count="8">
    <mergeCell ref="A1:E1"/>
    <mergeCell ref="A65:B65"/>
    <mergeCell ref="A66:B66"/>
    <mergeCell ref="A67:B67"/>
    <mergeCell ref="A4:E4"/>
    <mergeCell ref="A7:E7"/>
    <mergeCell ref="A8:E8"/>
    <mergeCell ref="A9:E9"/>
  </mergeCells>
  <pageMargins left="1.1811023622047245" right="0.39370078740157483" top="0.6692913385826772" bottom="0.3937007874015748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8A0000"/>
    <pageSetUpPr fitToPage="1"/>
  </sheetPr>
  <dimension ref="A1:H60"/>
  <sheetViews>
    <sheetView zoomScale="80" zoomScaleNormal="80" zoomScaleSheetLayoutView="80" workbookViewId="0">
      <selection activeCell="D2" sqref="D2"/>
    </sheetView>
  </sheetViews>
  <sheetFormatPr defaultColWidth="9.140625" defaultRowHeight="18"/>
  <cols>
    <col min="1" max="1" width="6.140625" style="556" customWidth="1"/>
    <col min="2" max="2" width="9.140625" style="556" customWidth="1"/>
    <col min="3" max="3" width="62.140625" style="556" customWidth="1"/>
    <col min="4" max="4" width="17.7109375" style="637" customWidth="1"/>
    <col min="5" max="5" width="8.140625" style="556" customWidth="1"/>
    <col min="6" max="6" width="22.85546875" style="556" customWidth="1"/>
    <col min="7" max="16384" width="9.140625" style="556"/>
  </cols>
  <sheetData>
    <row r="1" spans="1:6" ht="18.75">
      <c r="A1" s="194"/>
      <c r="B1" s="194"/>
      <c r="C1" s="194"/>
      <c r="D1" s="445" t="s">
        <v>461</v>
      </c>
    </row>
    <row r="2" spans="1:6" ht="18.75">
      <c r="A2" s="194"/>
      <c r="B2" s="194"/>
      <c r="C2" s="194"/>
      <c r="D2" s="445" t="s">
        <v>1017</v>
      </c>
    </row>
    <row r="4" spans="1:6" ht="18.75">
      <c r="D4" s="201" t="s">
        <v>539</v>
      </c>
    </row>
    <row r="5" spans="1:6" ht="18.75">
      <c r="D5" s="496" t="s">
        <v>922</v>
      </c>
    </row>
    <row r="6" spans="1:6" ht="18.75">
      <c r="D6" s="635"/>
    </row>
    <row r="7" spans="1:6" ht="18.75">
      <c r="A7" s="636"/>
      <c r="B7" s="636"/>
      <c r="C7" s="636"/>
    </row>
    <row r="8" spans="1:6" ht="18.75">
      <c r="A8" s="836" t="s">
        <v>181</v>
      </c>
      <c r="B8" s="837"/>
      <c r="C8" s="837"/>
      <c r="D8" s="837"/>
    </row>
    <row r="9" spans="1:6" ht="18.75">
      <c r="A9" s="836" t="s">
        <v>777</v>
      </c>
      <c r="B9" s="837"/>
      <c r="C9" s="837"/>
      <c r="D9" s="837"/>
    </row>
    <row r="10" spans="1:6" ht="18.75">
      <c r="A10" s="636"/>
      <c r="D10" s="556"/>
    </row>
    <row r="11" spans="1:6" ht="18.75">
      <c r="D11" s="509" t="s">
        <v>42</v>
      </c>
    </row>
    <row r="12" spans="1:6" ht="38.450000000000003" customHeight="1">
      <c r="A12" s="735" t="s">
        <v>182</v>
      </c>
      <c r="B12" s="736" t="s">
        <v>388</v>
      </c>
      <c r="C12" s="736" t="s">
        <v>44</v>
      </c>
      <c r="D12" s="639" t="s">
        <v>33</v>
      </c>
    </row>
    <row r="13" spans="1:6" ht="18.75">
      <c r="A13" s="640">
        <v>1</v>
      </c>
      <c r="B13" s="640">
        <v>2</v>
      </c>
      <c r="C13" s="640">
        <v>3</v>
      </c>
      <c r="D13" s="641">
        <v>4</v>
      </c>
    </row>
    <row r="14" spans="1:6" ht="18.75">
      <c r="A14" s="536"/>
      <c r="B14" s="536"/>
      <c r="C14" s="537" t="s">
        <v>183</v>
      </c>
      <c r="D14" s="538">
        <f>D16+D23+D26+D30+D33+D39+D42+D53+D47+D51</f>
        <v>1594404.3900000001</v>
      </c>
      <c r="F14" s="756"/>
    </row>
    <row r="15" spans="1:6" ht="18.75">
      <c r="A15" s="536"/>
      <c r="B15" s="536"/>
      <c r="C15" s="540" t="s">
        <v>184</v>
      </c>
      <c r="D15" s="541"/>
    </row>
    <row r="16" spans="1:6" ht="18.75">
      <c r="A16" s="642">
        <v>1</v>
      </c>
      <c r="B16" s="546" t="s">
        <v>185</v>
      </c>
      <c r="C16" s="542" t="s">
        <v>56</v>
      </c>
      <c r="D16" s="543">
        <f>SUM(D17:D22)</f>
        <v>160687.83499999999</v>
      </c>
      <c r="F16" s="637"/>
    </row>
    <row r="17" spans="1:4" ht="56.25">
      <c r="A17" s="643"/>
      <c r="B17" s="545" t="s">
        <v>186</v>
      </c>
      <c r="C17" s="544" t="s">
        <v>187</v>
      </c>
      <c r="D17" s="541">
        <f>'прил12(ведом 21)'!M711</f>
        <v>2067.1</v>
      </c>
    </row>
    <row r="18" spans="1:4" ht="75">
      <c r="A18" s="643"/>
      <c r="B18" s="545" t="s">
        <v>188</v>
      </c>
      <c r="C18" s="544" t="s">
        <v>71</v>
      </c>
      <c r="D18" s="541">
        <f>'прил12(ведом 21)'!M712</f>
        <v>71364.330999999991</v>
      </c>
    </row>
    <row r="19" spans="1:4" ht="18.75">
      <c r="A19" s="643"/>
      <c r="B19" s="545" t="s">
        <v>495</v>
      </c>
      <c r="C19" s="164" t="s">
        <v>488</v>
      </c>
      <c r="D19" s="541">
        <f>'прил12(ведом 21)'!M713</f>
        <v>13.2</v>
      </c>
    </row>
    <row r="20" spans="1:4" ht="56.25">
      <c r="A20" s="643"/>
      <c r="B20" s="545" t="s">
        <v>189</v>
      </c>
      <c r="C20" s="544" t="s">
        <v>151</v>
      </c>
      <c r="D20" s="541">
        <f>'прил12(ведом 21)'!M714</f>
        <v>29306.215999999997</v>
      </c>
    </row>
    <row r="21" spans="1:4" ht="18.75">
      <c r="A21" s="643"/>
      <c r="B21" s="545" t="s">
        <v>190</v>
      </c>
      <c r="C21" s="544" t="s">
        <v>87</v>
      </c>
      <c r="D21" s="541">
        <f>'прил12(ведом 21)'!M715</f>
        <v>7566.8879999999999</v>
      </c>
    </row>
    <row r="22" spans="1:4" ht="18.75">
      <c r="A22" s="643"/>
      <c r="B22" s="545" t="s">
        <v>191</v>
      </c>
      <c r="C22" s="544" t="s">
        <v>91</v>
      </c>
      <c r="D22" s="541">
        <f>'прил12(ведом 21)'!M716</f>
        <v>50370.099999999991</v>
      </c>
    </row>
    <row r="23" spans="1:4" ht="37.5">
      <c r="A23" s="642">
        <v>2</v>
      </c>
      <c r="B23" s="546" t="s">
        <v>192</v>
      </c>
      <c r="C23" s="542" t="s">
        <v>99</v>
      </c>
      <c r="D23" s="543">
        <f>SUM(D24:D25)</f>
        <v>15054.2</v>
      </c>
    </row>
    <row r="24" spans="1:4" ht="56.25">
      <c r="A24" s="643"/>
      <c r="B24" s="545" t="s">
        <v>796</v>
      </c>
      <c r="C24" s="544" t="s">
        <v>797</v>
      </c>
      <c r="D24" s="541">
        <f>'прил12(ведом 21)'!M719</f>
        <v>4033.3</v>
      </c>
    </row>
    <row r="25" spans="1:4" ht="37.5">
      <c r="A25" s="643"/>
      <c r="B25" s="545" t="s">
        <v>193</v>
      </c>
      <c r="C25" s="544" t="s">
        <v>108</v>
      </c>
      <c r="D25" s="541">
        <f>'прил12(ведом 21)'!M720</f>
        <v>11020.9</v>
      </c>
    </row>
    <row r="26" spans="1:4" ht="18.75">
      <c r="A26" s="642">
        <v>3</v>
      </c>
      <c r="B26" s="546" t="s">
        <v>194</v>
      </c>
      <c r="C26" s="542" t="s">
        <v>113</v>
      </c>
      <c r="D26" s="543">
        <f>SUM(D27:D29)</f>
        <v>30563.683000000001</v>
      </c>
    </row>
    <row r="27" spans="1:4" ht="18.75">
      <c r="A27" s="642"/>
      <c r="B27" s="545" t="s">
        <v>195</v>
      </c>
      <c r="C27" s="544" t="s">
        <v>114</v>
      </c>
      <c r="D27" s="541">
        <f>'прил12(ведом 21)'!M723</f>
        <v>11258.5</v>
      </c>
    </row>
    <row r="28" spans="1:4" ht="18.75">
      <c r="A28" s="643"/>
      <c r="B28" s="545" t="s">
        <v>196</v>
      </c>
      <c r="C28" s="544" t="s">
        <v>119</v>
      </c>
      <c r="D28" s="541">
        <f>'прил12(ведом 21)'!M724</f>
        <v>9802.3829999999998</v>
      </c>
    </row>
    <row r="29" spans="1:4" ht="37.5">
      <c r="A29" s="643"/>
      <c r="B29" s="545" t="s">
        <v>197</v>
      </c>
      <c r="C29" s="544" t="s">
        <v>127</v>
      </c>
      <c r="D29" s="541">
        <f>'прил12(ведом 21)'!M725</f>
        <v>9502.7999999999993</v>
      </c>
    </row>
    <row r="30" spans="1:4" ht="18.75">
      <c r="A30" s="642">
        <v>4</v>
      </c>
      <c r="B30" s="546" t="s">
        <v>198</v>
      </c>
      <c r="C30" s="542" t="s">
        <v>199</v>
      </c>
      <c r="D30" s="543">
        <f>SUM(D31:D32)</f>
        <v>17604.099999999999</v>
      </c>
    </row>
    <row r="31" spans="1:4" ht="18.75">
      <c r="A31" s="642"/>
      <c r="B31" s="547" t="s">
        <v>400</v>
      </c>
      <c r="C31" s="548" t="s">
        <v>398</v>
      </c>
      <c r="D31" s="549">
        <f>'прил12(ведом 21)'!M729</f>
        <v>16440.5</v>
      </c>
    </row>
    <row r="32" spans="1:4" ht="18.75">
      <c r="A32" s="642"/>
      <c r="B32" s="547" t="s">
        <v>985</v>
      </c>
      <c r="C32" s="548" t="s">
        <v>979</v>
      </c>
      <c r="D32" s="549">
        <f>'прил12(ведом 21)'!M731</f>
        <v>1163.5999999999999</v>
      </c>
    </row>
    <row r="33" spans="1:4" ht="18.75">
      <c r="A33" s="642">
        <v>5</v>
      </c>
      <c r="B33" s="546" t="s">
        <v>200</v>
      </c>
      <c r="C33" s="542" t="s">
        <v>201</v>
      </c>
      <c r="D33" s="543">
        <f>SUM(D34:D38)</f>
        <v>1129502.9600000002</v>
      </c>
    </row>
    <row r="34" spans="1:4" ht="18.75">
      <c r="A34" s="643"/>
      <c r="B34" s="545" t="s">
        <v>202</v>
      </c>
      <c r="C34" s="544" t="s">
        <v>203</v>
      </c>
      <c r="D34" s="541">
        <f>'прил12(ведом 21)'!M734</f>
        <v>324648.69999999995</v>
      </c>
    </row>
    <row r="35" spans="1:4" ht="18.75">
      <c r="A35" s="643"/>
      <c r="B35" s="545" t="s">
        <v>204</v>
      </c>
      <c r="C35" s="544" t="s">
        <v>205</v>
      </c>
      <c r="D35" s="541">
        <f>'прил12(ведом 21)'!M735</f>
        <v>612717.70000000007</v>
      </c>
    </row>
    <row r="36" spans="1:4" ht="18.75">
      <c r="A36" s="643"/>
      <c r="B36" s="545" t="s">
        <v>423</v>
      </c>
      <c r="C36" s="544" t="s">
        <v>424</v>
      </c>
      <c r="D36" s="541">
        <f>'прил12(ведом 21)'!M736</f>
        <v>115089.088</v>
      </c>
    </row>
    <row r="37" spans="1:4" ht="18.75">
      <c r="A37" s="642"/>
      <c r="B37" s="545" t="s">
        <v>206</v>
      </c>
      <c r="C37" s="544" t="s">
        <v>425</v>
      </c>
      <c r="D37" s="541">
        <f>'прил12(ведом 21)'!M738</f>
        <v>11507.699999999999</v>
      </c>
    </row>
    <row r="38" spans="1:4" ht="18.75">
      <c r="A38" s="643"/>
      <c r="B38" s="545" t="s">
        <v>207</v>
      </c>
      <c r="C38" s="544" t="s">
        <v>208</v>
      </c>
      <c r="D38" s="541">
        <f>'прил12(ведом 21)'!M739</f>
        <v>65539.772000000012</v>
      </c>
    </row>
    <row r="39" spans="1:4" ht="18.75">
      <c r="A39" s="644">
        <v>6</v>
      </c>
      <c r="B39" s="546" t="s">
        <v>209</v>
      </c>
      <c r="C39" s="542" t="s">
        <v>210</v>
      </c>
      <c r="D39" s="543">
        <f>SUM(D40:D41)</f>
        <v>34978.600000000006</v>
      </c>
    </row>
    <row r="40" spans="1:4" ht="18.75">
      <c r="A40" s="643"/>
      <c r="B40" s="545" t="s">
        <v>211</v>
      </c>
      <c r="C40" s="544" t="s">
        <v>212</v>
      </c>
      <c r="D40" s="541">
        <f>'прил12(ведом 21)'!M742</f>
        <v>24731.300000000003</v>
      </c>
    </row>
    <row r="41" spans="1:4" ht="18.75" customHeight="1">
      <c r="A41" s="643"/>
      <c r="B41" s="545" t="s">
        <v>213</v>
      </c>
      <c r="C41" s="544" t="s">
        <v>214</v>
      </c>
      <c r="D41" s="541">
        <f>'прил12(ведом 21)'!M743</f>
        <v>10247.299999999999</v>
      </c>
    </row>
    <row r="42" spans="1:4" s="757" customFormat="1" ht="18.75">
      <c r="A42" s="642">
        <v>7</v>
      </c>
      <c r="B42" s="642">
        <v>1000</v>
      </c>
      <c r="C42" s="542" t="s">
        <v>140</v>
      </c>
      <c r="D42" s="543">
        <f>SUM(D43:D46)</f>
        <v>129935.59999999998</v>
      </c>
    </row>
    <row r="43" spans="1:4" ht="18.75">
      <c r="A43" s="643"/>
      <c r="B43" s="643">
        <v>1001</v>
      </c>
      <c r="C43" s="544" t="s">
        <v>432</v>
      </c>
      <c r="D43" s="541">
        <f>'прил12(ведом 21)'!M746</f>
        <v>552</v>
      </c>
    </row>
    <row r="44" spans="1:4" ht="18.75">
      <c r="A44" s="643"/>
      <c r="B44" s="643">
        <v>1003</v>
      </c>
      <c r="C44" s="168" t="s">
        <v>988</v>
      </c>
      <c r="D44" s="549">
        <f>'прил12(ведом 21)'!M747</f>
        <v>1060</v>
      </c>
    </row>
    <row r="45" spans="1:4" ht="18.75">
      <c r="A45" s="643"/>
      <c r="B45" s="643">
        <v>1004</v>
      </c>
      <c r="C45" s="544" t="s">
        <v>215</v>
      </c>
      <c r="D45" s="549">
        <f>'прил12(ведом 21)'!M748</f>
        <v>119803.19999999998</v>
      </c>
    </row>
    <row r="46" spans="1:4" ht="18.75">
      <c r="A46" s="643"/>
      <c r="B46" s="643">
        <v>1006</v>
      </c>
      <c r="C46" s="544" t="s">
        <v>216</v>
      </c>
      <c r="D46" s="549">
        <f>'прил12(ведом 21)'!M749</f>
        <v>8520.4</v>
      </c>
    </row>
    <row r="47" spans="1:4" ht="18.75">
      <c r="A47" s="644">
        <v>8</v>
      </c>
      <c r="B47" s="645">
        <v>1100</v>
      </c>
      <c r="C47" s="537" t="s">
        <v>217</v>
      </c>
      <c r="D47" s="646">
        <f>SUM(D48:D50)</f>
        <v>39114.5</v>
      </c>
    </row>
    <row r="48" spans="1:4" ht="18.75">
      <c r="A48" s="647"/>
      <c r="B48" s="648">
        <v>1101</v>
      </c>
      <c r="C48" s="649" t="s">
        <v>443</v>
      </c>
      <c r="D48" s="549">
        <f>'прил12(ведом 21)'!M752</f>
        <v>36092.1</v>
      </c>
    </row>
    <row r="49" spans="1:8" ht="18.75">
      <c r="A49" s="644"/>
      <c r="B49" s="545" t="s">
        <v>218</v>
      </c>
      <c r="C49" s="650" t="s">
        <v>219</v>
      </c>
      <c r="D49" s="549">
        <f>'прил12(ведом 21)'!M753</f>
        <v>597.09999999999991</v>
      </c>
    </row>
    <row r="50" spans="1:8" ht="37.5">
      <c r="A50" s="643"/>
      <c r="B50" s="545" t="s">
        <v>220</v>
      </c>
      <c r="C50" s="651" t="s">
        <v>221</v>
      </c>
      <c r="D50" s="541">
        <f>'прил12(ведом 21)'!M754</f>
        <v>2425.3000000000002</v>
      </c>
    </row>
    <row r="51" spans="1:8" ht="37.5">
      <c r="A51" s="642">
        <v>9</v>
      </c>
      <c r="B51" s="546" t="s">
        <v>484</v>
      </c>
      <c r="C51" s="298" t="s">
        <v>475</v>
      </c>
      <c r="D51" s="646">
        <f>D52</f>
        <v>16.5</v>
      </c>
    </row>
    <row r="52" spans="1:8" ht="37.5">
      <c r="A52" s="643"/>
      <c r="B52" s="545" t="s">
        <v>485</v>
      </c>
      <c r="C52" s="651" t="s">
        <v>772</v>
      </c>
      <c r="D52" s="541">
        <f>'прил12(ведом 21)'!M757</f>
        <v>16.5</v>
      </c>
    </row>
    <row r="53" spans="1:8" ht="56.25">
      <c r="A53" s="642">
        <v>10</v>
      </c>
      <c r="B53" s="645">
        <v>1400</v>
      </c>
      <c r="C53" s="542" t="s">
        <v>222</v>
      </c>
      <c r="D53" s="652">
        <f>SUM(D54:D55)</f>
        <v>36946.411999999997</v>
      </c>
    </row>
    <row r="54" spans="1:8" ht="56.25">
      <c r="A54" s="653"/>
      <c r="B54" s="648">
        <v>1401</v>
      </c>
      <c r="C54" s="544" t="s">
        <v>223</v>
      </c>
      <c r="D54" s="654">
        <f>'прил12(ведом 21)'!M760</f>
        <v>5500</v>
      </c>
    </row>
    <row r="55" spans="1:8" ht="19.5" customHeight="1">
      <c r="A55" s="653"/>
      <c r="B55" s="648">
        <v>1403</v>
      </c>
      <c r="C55" s="758" t="s">
        <v>926</v>
      </c>
      <c r="D55" s="654">
        <f>'прил12(ведом 21)'!M762</f>
        <v>31446.412</v>
      </c>
    </row>
    <row r="58" spans="1:8" s="280" customFormat="1" ht="18.75">
      <c r="A58" s="375" t="s">
        <v>467</v>
      </c>
      <c r="B58" s="283"/>
      <c r="C58" s="284"/>
      <c r="D58" s="284"/>
      <c r="E58" s="284"/>
      <c r="F58" s="207"/>
      <c r="G58" s="374"/>
      <c r="H58" s="435"/>
    </row>
    <row r="59" spans="1:8" s="280" customFormat="1" ht="18.75">
      <c r="A59" s="375" t="s">
        <v>468</v>
      </c>
      <c r="B59" s="283"/>
      <c r="C59" s="284"/>
      <c r="D59" s="284"/>
      <c r="E59" s="284"/>
      <c r="F59" s="207"/>
      <c r="G59" s="374"/>
      <c r="H59" s="435"/>
    </row>
    <row r="60" spans="1:8" s="280" customFormat="1" ht="18.75">
      <c r="A60" s="376" t="s">
        <v>469</v>
      </c>
      <c r="B60" s="283"/>
      <c r="D60" s="377" t="s">
        <v>494</v>
      </c>
      <c r="E60" s="284"/>
      <c r="F60" s="207"/>
    </row>
  </sheetData>
  <mergeCells count="2">
    <mergeCell ref="A8:D8"/>
    <mergeCell ref="A9:D9"/>
  </mergeCells>
  <printOptions horizontalCentered="1"/>
  <pageMargins left="1.1811023622047245" right="0.39370078740157483" top="0.78740157480314965" bottom="0.78740157480314965" header="0" footer="0"/>
  <pageSetup paperSize="9" scale="89" fitToHeight="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H61"/>
  <sheetViews>
    <sheetView zoomScale="80" zoomScaleNormal="80" zoomScaleSheetLayoutView="100" workbookViewId="0">
      <selection activeCell="E2" sqref="E2"/>
    </sheetView>
  </sheetViews>
  <sheetFormatPr defaultColWidth="9.140625" defaultRowHeight="18"/>
  <cols>
    <col min="1" max="1" width="6.140625" style="556" customWidth="1"/>
    <col min="2" max="2" width="9.140625" style="556" customWidth="1"/>
    <col min="3" max="3" width="62.140625" style="556" customWidth="1"/>
    <col min="4" max="4" width="14.7109375" style="637" customWidth="1"/>
    <col min="5" max="5" width="14.140625" style="556" customWidth="1"/>
    <col min="6" max="6" width="8.28515625" style="18" customWidth="1"/>
    <col min="7" max="7" width="22.85546875" style="18" customWidth="1"/>
    <col min="8" max="8" width="22.5703125" style="18" customWidth="1"/>
    <col min="9" max="16384" width="9.140625" style="18"/>
  </cols>
  <sheetData>
    <row r="1" spans="1:8" ht="18.75">
      <c r="A1" s="18"/>
      <c r="B1" s="18"/>
      <c r="C1" s="194"/>
      <c r="D1" s="194"/>
      <c r="E1" s="201" t="s">
        <v>470</v>
      </c>
    </row>
    <row r="2" spans="1:8" ht="18.75">
      <c r="A2" s="18"/>
      <c r="B2" s="18"/>
      <c r="C2" s="194"/>
      <c r="D2" s="194"/>
      <c r="E2" s="201" t="s">
        <v>1017</v>
      </c>
    </row>
    <row r="4" spans="1:8" ht="18.75">
      <c r="E4" s="201" t="s">
        <v>541</v>
      </c>
    </row>
    <row r="5" spans="1:8" ht="18.75">
      <c r="E5" s="496" t="s">
        <v>922</v>
      </c>
    </row>
    <row r="7" spans="1:8" ht="18.75">
      <c r="A7" s="636"/>
      <c r="B7" s="636"/>
      <c r="C7" s="636"/>
    </row>
    <row r="8" spans="1:8" ht="24.75" customHeight="1">
      <c r="A8" s="836" t="s">
        <v>181</v>
      </c>
      <c r="B8" s="836"/>
      <c r="C8" s="836"/>
      <c r="D8" s="836"/>
      <c r="E8" s="836"/>
      <c r="F8" s="97"/>
    </row>
    <row r="9" spans="1:8" ht="18.75">
      <c r="A9" s="836" t="s">
        <v>778</v>
      </c>
      <c r="B9" s="836"/>
      <c r="C9" s="836"/>
      <c r="D9" s="836"/>
      <c r="E9" s="836"/>
      <c r="F9" s="97"/>
    </row>
    <row r="10" spans="1:8" ht="18.75">
      <c r="A10" s="636"/>
      <c r="D10" s="556"/>
    </row>
    <row r="11" spans="1:8" ht="18.75">
      <c r="E11" s="509" t="s">
        <v>42</v>
      </c>
    </row>
    <row r="12" spans="1:8" ht="18.75">
      <c r="A12" s="839" t="s">
        <v>182</v>
      </c>
      <c r="B12" s="840" t="s">
        <v>388</v>
      </c>
      <c r="C12" s="840" t="s">
        <v>44</v>
      </c>
      <c r="D12" s="838" t="s">
        <v>33</v>
      </c>
      <c r="E12" s="838"/>
      <c r="F12" s="80"/>
    </row>
    <row r="13" spans="1:8" ht="25.9" customHeight="1">
      <c r="A13" s="839"/>
      <c r="B13" s="840"/>
      <c r="C13" s="840"/>
      <c r="D13" s="639" t="s">
        <v>580</v>
      </c>
      <c r="E13" s="639" t="s">
        <v>776</v>
      </c>
      <c r="F13" s="81"/>
    </row>
    <row r="14" spans="1:8" ht="18.75">
      <c r="A14" s="640">
        <v>1</v>
      </c>
      <c r="B14" s="640">
        <v>2</v>
      </c>
      <c r="C14" s="640">
        <v>3</v>
      </c>
      <c r="D14" s="641">
        <v>4</v>
      </c>
      <c r="E14" s="641">
        <v>5</v>
      </c>
      <c r="F14" s="79"/>
    </row>
    <row r="15" spans="1:8" ht="18.75">
      <c r="A15" s="536"/>
      <c r="B15" s="536"/>
      <c r="C15" s="537" t="s">
        <v>183</v>
      </c>
      <c r="D15" s="538">
        <f>D17+D24+D27+D31+D34+D40+D43+D47+D53+D55+D51</f>
        <v>1484755.2999999998</v>
      </c>
      <c r="E15" s="538">
        <f>E17+E24+E27+E31+E34+E40+E43+E47+E53+E55+E51</f>
        <v>1512134.5</v>
      </c>
      <c r="G15" s="110">
        <f>D15-'прил13(ведом 22-23)'!M15</f>
        <v>0</v>
      </c>
      <c r="H15" s="110">
        <f>E15-'прил13(ведом 22-23)'!N15</f>
        <v>0</v>
      </c>
    </row>
    <row r="16" spans="1:8" ht="18.75">
      <c r="A16" s="536"/>
      <c r="B16" s="536"/>
      <c r="C16" s="540" t="s">
        <v>184</v>
      </c>
      <c r="D16" s="541"/>
      <c r="E16" s="541"/>
    </row>
    <row r="17" spans="1:7" ht="18.75">
      <c r="A17" s="642">
        <v>1</v>
      </c>
      <c r="B17" s="546" t="s">
        <v>185</v>
      </c>
      <c r="C17" s="542" t="s">
        <v>56</v>
      </c>
      <c r="D17" s="543">
        <f>SUM(D18:D23)</f>
        <v>148824.90000000002</v>
      </c>
      <c r="E17" s="543">
        <f>SUM(E18:E23)</f>
        <v>140814.6</v>
      </c>
      <c r="G17" s="20"/>
    </row>
    <row r="18" spans="1:7" ht="56.25">
      <c r="A18" s="643"/>
      <c r="B18" s="545" t="s">
        <v>186</v>
      </c>
      <c r="C18" s="544" t="s">
        <v>187</v>
      </c>
      <c r="D18" s="541">
        <f>'прил13(ведом 22-23)'!M562</f>
        <v>2128.5</v>
      </c>
      <c r="E18" s="541">
        <f>'прил13(ведом 22-23)'!N562</f>
        <v>2128.5</v>
      </c>
    </row>
    <row r="19" spans="1:7" ht="75">
      <c r="A19" s="643"/>
      <c r="B19" s="545" t="s">
        <v>188</v>
      </c>
      <c r="C19" s="544" t="s">
        <v>71</v>
      </c>
      <c r="D19" s="541">
        <f>'прил13(ведом 22-23)'!M563</f>
        <v>72075.899999999994</v>
      </c>
      <c r="E19" s="541">
        <f>'прил13(ведом 22-23)'!N563</f>
        <v>72150.2</v>
      </c>
    </row>
    <row r="20" spans="1:7" ht="18.75">
      <c r="A20" s="643"/>
      <c r="B20" s="545" t="s">
        <v>495</v>
      </c>
      <c r="C20" s="164" t="s">
        <v>488</v>
      </c>
      <c r="D20" s="541">
        <f>'прил13(ведом 22-23)'!M564</f>
        <v>98.4</v>
      </c>
      <c r="E20" s="541">
        <f>'прил13(ведом 22-23)'!N564</f>
        <v>5.7</v>
      </c>
    </row>
    <row r="21" spans="1:7" ht="56.25">
      <c r="A21" s="643"/>
      <c r="B21" s="545" t="s">
        <v>189</v>
      </c>
      <c r="C21" s="544" t="s">
        <v>151</v>
      </c>
      <c r="D21" s="541">
        <f>'прил13(ведом 22-23)'!M565</f>
        <v>29332.200000000004</v>
      </c>
      <c r="E21" s="541">
        <f>'прил13(ведом 22-23)'!N565</f>
        <v>29333</v>
      </c>
    </row>
    <row r="22" spans="1:7" ht="18.75">
      <c r="A22" s="643"/>
      <c r="B22" s="545" t="s">
        <v>190</v>
      </c>
      <c r="C22" s="544" t="s">
        <v>87</v>
      </c>
      <c r="D22" s="541">
        <f>'прил13(ведом 22-23)'!M566</f>
        <v>5000</v>
      </c>
      <c r="E22" s="541">
        <f>'прил13(ведом 22-23)'!N566</f>
        <v>5000</v>
      </c>
    </row>
    <row r="23" spans="1:7" ht="18.75">
      <c r="A23" s="643"/>
      <c r="B23" s="545" t="s">
        <v>191</v>
      </c>
      <c r="C23" s="544" t="s">
        <v>91</v>
      </c>
      <c r="D23" s="541">
        <f>'прил13(ведом 22-23)'!M567</f>
        <v>40189.900000000009</v>
      </c>
      <c r="E23" s="541">
        <f>'прил13(ведом 22-23)'!N567</f>
        <v>32197.200000000004</v>
      </c>
    </row>
    <row r="24" spans="1:7" ht="37.5">
      <c r="A24" s="642">
        <v>2</v>
      </c>
      <c r="B24" s="546" t="s">
        <v>192</v>
      </c>
      <c r="C24" s="542" t="s">
        <v>99</v>
      </c>
      <c r="D24" s="543">
        <f>SUM(D25:D26)</f>
        <v>12548</v>
      </c>
      <c r="E24" s="543">
        <f>SUM(E25:E26)</f>
        <v>12548.4</v>
      </c>
    </row>
    <row r="25" spans="1:7" ht="56.25">
      <c r="A25" s="643"/>
      <c r="B25" s="545" t="s">
        <v>796</v>
      </c>
      <c r="C25" s="544" t="s">
        <v>797</v>
      </c>
      <c r="D25" s="541">
        <f>'прил13(ведом 22-23)'!M570</f>
        <v>3437.6000000000004</v>
      </c>
      <c r="E25" s="541">
        <f>'прил13(ведом 22-23)'!N570</f>
        <v>3437.6000000000004</v>
      </c>
    </row>
    <row r="26" spans="1:7" ht="37.5">
      <c r="A26" s="643"/>
      <c r="B26" s="545" t="s">
        <v>193</v>
      </c>
      <c r="C26" s="544" t="s">
        <v>108</v>
      </c>
      <c r="D26" s="541">
        <f>'прил13(ведом 22-23)'!M571</f>
        <v>9110.4</v>
      </c>
      <c r="E26" s="541">
        <f>'прил13(ведом 22-23)'!N571</f>
        <v>9110.7999999999993</v>
      </c>
    </row>
    <row r="27" spans="1:7" ht="18.75">
      <c r="A27" s="642">
        <v>3</v>
      </c>
      <c r="B27" s="546" t="s">
        <v>194</v>
      </c>
      <c r="C27" s="542" t="s">
        <v>113</v>
      </c>
      <c r="D27" s="543">
        <f>SUM(D28:D30)</f>
        <v>23816.9</v>
      </c>
      <c r="E27" s="543">
        <f>SUM(E28:E30)</f>
        <v>24744.1</v>
      </c>
    </row>
    <row r="28" spans="1:7" ht="18.75">
      <c r="A28" s="642"/>
      <c r="B28" s="545" t="s">
        <v>195</v>
      </c>
      <c r="C28" s="544" t="s">
        <v>114</v>
      </c>
      <c r="D28" s="541">
        <f>'прил13(ведом 22-23)'!M574</f>
        <v>11258.5</v>
      </c>
      <c r="E28" s="541">
        <f>'прил13(ведом 22-23)'!N574</f>
        <v>11258.5</v>
      </c>
    </row>
    <row r="29" spans="1:7" ht="18.75">
      <c r="A29" s="643"/>
      <c r="B29" s="545" t="s">
        <v>196</v>
      </c>
      <c r="C29" s="544" t="s">
        <v>119</v>
      </c>
      <c r="D29" s="541">
        <f>'прил13(ведом 22-23)'!M575</f>
        <v>5907.9</v>
      </c>
      <c r="E29" s="541">
        <f>'прил13(ведом 22-23)'!N575</f>
        <v>6835.1</v>
      </c>
    </row>
    <row r="30" spans="1:7" ht="37.5">
      <c r="A30" s="643"/>
      <c r="B30" s="545" t="s">
        <v>197</v>
      </c>
      <c r="C30" s="544" t="s">
        <v>127</v>
      </c>
      <c r="D30" s="541">
        <f>'прил13(ведом 22-23)'!M576</f>
        <v>6650.5</v>
      </c>
      <c r="E30" s="541">
        <f>'прил13(ведом 22-23)'!N576</f>
        <v>6650.5</v>
      </c>
    </row>
    <row r="31" spans="1:7" s="22" customFormat="1" ht="18.75">
      <c r="A31" s="642">
        <v>4</v>
      </c>
      <c r="B31" s="546" t="s">
        <v>198</v>
      </c>
      <c r="C31" s="542" t="s">
        <v>199</v>
      </c>
      <c r="D31" s="543">
        <f>D33+D32</f>
        <v>12354.9</v>
      </c>
      <c r="E31" s="543">
        <f>E33+E32</f>
        <v>25766.9</v>
      </c>
    </row>
    <row r="32" spans="1:7" s="22" customFormat="1" ht="18.75">
      <c r="A32" s="642"/>
      <c r="B32" s="547" t="s">
        <v>829</v>
      </c>
      <c r="C32" s="548" t="s">
        <v>828</v>
      </c>
      <c r="D32" s="549">
        <f>'прил13(ведом 22-23)'!M579</f>
        <v>0</v>
      </c>
      <c r="E32" s="549">
        <f>'прил13(ведом 22-23)'!N579</f>
        <v>25766.9</v>
      </c>
    </row>
    <row r="33" spans="1:5" ht="18.75">
      <c r="A33" s="643"/>
      <c r="B33" s="545" t="s">
        <v>400</v>
      </c>
      <c r="C33" s="548" t="s">
        <v>398</v>
      </c>
      <c r="D33" s="541">
        <f>'прил13(ведом 22-23)'!M580</f>
        <v>12354.9</v>
      </c>
      <c r="E33" s="541">
        <f>'прил13(ведом 22-23)'!N580</f>
        <v>0</v>
      </c>
    </row>
    <row r="34" spans="1:5" ht="18.75">
      <c r="A34" s="642">
        <v>5</v>
      </c>
      <c r="B34" s="546" t="s">
        <v>200</v>
      </c>
      <c r="C34" s="542" t="s">
        <v>201</v>
      </c>
      <c r="D34" s="543">
        <f>SUM(D35:D39)</f>
        <v>1077892.8999999999</v>
      </c>
      <c r="E34" s="543">
        <f>SUM(E35:E39)</f>
        <v>1064079.8999999999</v>
      </c>
    </row>
    <row r="35" spans="1:5" ht="18.75">
      <c r="A35" s="643"/>
      <c r="B35" s="545" t="s">
        <v>202</v>
      </c>
      <c r="C35" s="544" t="s">
        <v>203</v>
      </c>
      <c r="D35" s="541">
        <f>'прил13(ведом 22-23)'!M584</f>
        <v>311662.7</v>
      </c>
      <c r="E35" s="541">
        <f>'прил13(ведом 22-23)'!N584</f>
        <v>310578.99999999994</v>
      </c>
    </row>
    <row r="36" spans="1:5" ht="18.75">
      <c r="A36" s="643"/>
      <c r="B36" s="545" t="s">
        <v>204</v>
      </c>
      <c r="C36" s="544" t="s">
        <v>205</v>
      </c>
      <c r="D36" s="541">
        <f>'прил13(ведом 22-23)'!M585</f>
        <v>577408.29999999993</v>
      </c>
      <c r="E36" s="541">
        <f>'прил13(ведом 22-23)'!N585</f>
        <v>563979.39999999991</v>
      </c>
    </row>
    <row r="37" spans="1:5" ht="18.75">
      <c r="A37" s="643"/>
      <c r="B37" s="545" t="s">
        <v>423</v>
      </c>
      <c r="C37" s="544" t="s">
        <v>424</v>
      </c>
      <c r="D37" s="541">
        <f>'прил13(ведом 22-23)'!M586</f>
        <v>113704.3</v>
      </c>
      <c r="E37" s="541">
        <f>'прил13(ведом 22-23)'!N586</f>
        <v>114364.6</v>
      </c>
    </row>
    <row r="38" spans="1:5" ht="18.75">
      <c r="A38" s="642"/>
      <c r="B38" s="545" t="s">
        <v>206</v>
      </c>
      <c r="C38" s="544" t="s">
        <v>425</v>
      </c>
      <c r="D38" s="541">
        <f>'прил13(ведом 22-23)'!M588</f>
        <v>10086.099999999999</v>
      </c>
      <c r="E38" s="541">
        <f>'прил13(ведом 22-23)'!N588</f>
        <v>10086.099999999999</v>
      </c>
    </row>
    <row r="39" spans="1:5" ht="18.75">
      <c r="A39" s="643"/>
      <c r="B39" s="545" t="s">
        <v>207</v>
      </c>
      <c r="C39" s="544" t="s">
        <v>208</v>
      </c>
      <c r="D39" s="541">
        <f>'прил13(ведом 22-23)'!M589</f>
        <v>65031.5</v>
      </c>
      <c r="E39" s="541">
        <f>'прил13(ведом 22-23)'!N589</f>
        <v>65070.8</v>
      </c>
    </row>
    <row r="40" spans="1:5" ht="18.75">
      <c r="A40" s="644">
        <v>6</v>
      </c>
      <c r="B40" s="546" t="s">
        <v>209</v>
      </c>
      <c r="C40" s="542" t="s">
        <v>210</v>
      </c>
      <c r="D40" s="543">
        <f>SUM(D41:D42)</f>
        <v>33886.800000000003</v>
      </c>
      <c r="E40" s="543">
        <f>SUM(E41:E42)</f>
        <v>33978.600000000006</v>
      </c>
    </row>
    <row r="41" spans="1:5" ht="18.75">
      <c r="A41" s="643"/>
      <c r="B41" s="545" t="s">
        <v>211</v>
      </c>
      <c r="C41" s="544" t="s">
        <v>212</v>
      </c>
      <c r="D41" s="541">
        <f>'прил13(ведом 22-23)'!M592</f>
        <v>24640.7</v>
      </c>
      <c r="E41" s="541">
        <f>'прил13(ведом 22-23)'!N592</f>
        <v>24674.7</v>
      </c>
    </row>
    <row r="42" spans="1:5" ht="37.5">
      <c r="A42" s="643"/>
      <c r="B42" s="545" t="s">
        <v>213</v>
      </c>
      <c r="C42" s="544" t="s">
        <v>214</v>
      </c>
      <c r="D42" s="541">
        <f>'прил13(ведом 22-23)'!M593</f>
        <v>9246.1</v>
      </c>
      <c r="E42" s="541">
        <f>'прил13(ведом 22-23)'!N593</f>
        <v>9303.9000000000015</v>
      </c>
    </row>
    <row r="43" spans="1:5" s="22" customFormat="1" ht="18.75">
      <c r="A43" s="642">
        <v>7</v>
      </c>
      <c r="B43" s="642">
        <v>1000</v>
      </c>
      <c r="C43" s="542" t="s">
        <v>140</v>
      </c>
      <c r="D43" s="543">
        <f>SUM(D44:D46)</f>
        <v>117829.29999999999</v>
      </c>
      <c r="E43" s="543">
        <f>SUM(E44:E46)</f>
        <v>119212.09999999999</v>
      </c>
    </row>
    <row r="44" spans="1:5" ht="18.75">
      <c r="A44" s="643"/>
      <c r="B44" s="643">
        <v>1001</v>
      </c>
      <c r="C44" s="544" t="s">
        <v>432</v>
      </c>
      <c r="D44" s="541">
        <f>'прил13(ведом 22-23)'!M596</f>
        <v>552</v>
      </c>
      <c r="E44" s="541">
        <f>'прил13(ведом 22-23)'!N596</f>
        <v>552</v>
      </c>
    </row>
    <row r="45" spans="1:5" ht="18.75">
      <c r="A45" s="643"/>
      <c r="B45" s="643">
        <v>1004</v>
      </c>
      <c r="C45" s="544" t="s">
        <v>215</v>
      </c>
      <c r="D45" s="549">
        <f>'прил13(ведом 22-23)'!M597</f>
        <v>108756.9</v>
      </c>
      <c r="E45" s="549">
        <f>'прил13(ведом 22-23)'!N597</f>
        <v>110139.7</v>
      </c>
    </row>
    <row r="46" spans="1:5" ht="18.75">
      <c r="A46" s="643"/>
      <c r="B46" s="643">
        <v>1006</v>
      </c>
      <c r="C46" s="544" t="s">
        <v>216</v>
      </c>
      <c r="D46" s="549">
        <f>'прил13(ведом 22-23)'!M598</f>
        <v>8520.4</v>
      </c>
      <c r="E46" s="549">
        <f>'прил13(ведом 22-23)'!N598</f>
        <v>8520.4</v>
      </c>
    </row>
    <row r="47" spans="1:5" ht="18.75">
      <c r="A47" s="644">
        <v>8</v>
      </c>
      <c r="B47" s="645">
        <v>1100</v>
      </c>
      <c r="C47" s="537" t="s">
        <v>217</v>
      </c>
      <c r="D47" s="646">
        <f>SUM(D48:D50)</f>
        <v>21802.000000000004</v>
      </c>
      <c r="E47" s="646">
        <f>SUM(E48:E50)</f>
        <v>24529.200000000001</v>
      </c>
    </row>
    <row r="48" spans="1:5" ht="18.75">
      <c r="A48" s="647"/>
      <c r="B48" s="648">
        <v>1101</v>
      </c>
      <c r="C48" s="649" t="s">
        <v>443</v>
      </c>
      <c r="D48" s="549">
        <f>'прил13(ведом 22-23)'!M601</f>
        <v>19316.600000000002</v>
      </c>
      <c r="E48" s="549">
        <f>'прил13(ведом 22-23)'!N601</f>
        <v>18463.7</v>
      </c>
    </row>
    <row r="49" spans="1:8" ht="18.75">
      <c r="A49" s="647"/>
      <c r="B49" s="648">
        <v>1102</v>
      </c>
      <c r="C49" s="164" t="s">
        <v>219</v>
      </c>
      <c r="D49" s="549">
        <f>'прил13(ведом 22-23)'!M602</f>
        <v>0</v>
      </c>
      <c r="E49" s="549">
        <f>'прил13(ведом 22-23)'!N602</f>
        <v>3689.7999999999997</v>
      </c>
    </row>
    <row r="50" spans="1:8" ht="37.5">
      <c r="A50" s="643"/>
      <c r="B50" s="545" t="s">
        <v>220</v>
      </c>
      <c r="C50" s="651" t="s">
        <v>221</v>
      </c>
      <c r="D50" s="541">
        <f>'прил13(ведом 22-23)'!M603</f>
        <v>2485.4</v>
      </c>
      <c r="E50" s="541">
        <f>'прил13(ведом 22-23)'!N603</f>
        <v>2375.7000000000003</v>
      </c>
    </row>
    <row r="51" spans="1:8" ht="37.5">
      <c r="A51" s="642">
        <v>9</v>
      </c>
      <c r="B51" s="546" t="s">
        <v>484</v>
      </c>
      <c r="C51" s="298" t="s">
        <v>475</v>
      </c>
      <c r="D51" s="646">
        <f>D52</f>
        <v>9.4</v>
      </c>
      <c r="E51" s="646">
        <f>E52</f>
        <v>0</v>
      </c>
    </row>
    <row r="52" spans="1:8" ht="37.5">
      <c r="A52" s="643"/>
      <c r="B52" s="545" t="s">
        <v>485</v>
      </c>
      <c r="C52" s="651" t="s">
        <v>772</v>
      </c>
      <c r="D52" s="541">
        <f>'прил13(ведом 22-23)'!M606</f>
        <v>9.4</v>
      </c>
      <c r="E52" s="541">
        <f>'прил13(ведом 22-23)'!N606</f>
        <v>0</v>
      </c>
    </row>
    <row r="53" spans="1:8" ht="56.25">
      <c r="A53" s="642">
        <v>10</v>
      </c>
      <c r="B53" s="645">
        <v>1400</v>
      </c>
      <c r="C53" s="542" t="s">
        <v>222</v>
      </c>
      <c r="D53" s="652">
        <f>SUM(D54:D54)</f>
        <v>5500</v>
      </c>
      <c r="E53" s="652">
        <f>SUM(E54:E54)</f>
        <v>5500</v>
      </c>
    </row>
    <row r="54" spans="1:8" ht="56.25">
      <c r="A54" s="653"/>
      <c r="B54" s="648">
        <v>1401</v>
      </c>
      <c r="C54" s="544" t="s">
        <v>223</v>
      </c>
      <c r="D54" s="654">
        <f>'прил13(ведом 22-23)'!M609</f>
        <v>5500</v>
      </c>
      <c r="E54" s="654">
        <f>'прил13(ведом 22-23)'!N609</f>
        <v>5500</v>
      </c>
    </row>
    <row r="55" spans="1:8" ht="18.75">
      <c r="A55" s="642">
        <v>11</v>
      </c>
      <c r="B55" s="645"/>
      <c r="C55" s="542" t="s">
        <v>445</v>
      </c>
      <c r="D55" s="652">
        <f>SUM(D56:D56)</f>
        <v>30290.2</v>
      </c>
      <c r="E55" s="652">
        <f>SUM(E56:E56)</f>
        <v>60960.7</v>
      </c>
    </row>
    <row r="56" spans="1:8" ht="18.75">
      <c r="A56" s="653"/>
      <c r="B56" s="648"/>
      <c r="C56" s="544" t="s">
        <v>445</v>
      </c>
      <c r="D56" s="654">
        <f>'прил13(ведом 22-23)'!M612</f>
        <v>30290.2</v>
      </c>
      <c r="E56" s="654">
        <f>'прил13(ведом 22-23)'!N612</f>
        <v>60960.7</v>
      </c>
    </row>
    <row r="59" spans="1:8" s="24" customFormat="1" ht="18.75">
      <c r="A59" s="375" t="s">
        <v>467</v>
      </c>
      <c r="B59" s="283"/>
      <c r="C59" s="284"/>
      <c r="D59" s="284"/>
      <c r="E59" s="284"/>
      <c r="F59" s="28"/>
      <c r="G59" s="29"/>
      <c r="H59" s="25"/>
    </row>
    <row r="60" spans="1:8" s="24" customFormat="1" ht="18.75">
      <c r="A60" s="375" t="s">
        <v>468</v>
      </c>
      <c r="B60" s="283"/>
      <c r="C60" s="284"/>
      <c r="D60" s="284"/>
      <c r="E60" s="284"/>
      <c r="F60" s="28"/>
      <c r="G60" s="29"/>
      <c r="H60" s="25"/>
    </row>
    <row r="61" spans="1:8" s="24" customFormat="1" ht="18.75">
      <c r="A61" s="376" t="s">
        <v>469</v>
      </c>
      <c r="B61" s="283"/>
      <c r="C61" s="280"/>
      <c r="D61" s="280"/>
      <c r="E61" s="377" t="s">
        <v>494</v>
      </c>
      <c r="F61" s="28"/>
    </row>
  </sheetData>
  <mergeCells count="6">
    <mergeCell ref="A8:E8"/>
    <mergeCell ref="D12:E12"/>
    <mergeCell ref="A12:A13"/>
    <mergeCell ref="B12:B13"/>
    <mergeCell ref="C12:C13"/>
    <mergeCell ref="A9:E9"/>
  </mergeCells>
  <printOptions horizontalCentered="1"/>
  <pageMargins left="1.1811023622047245" right="0.39370078740157483" top="0.78740157480314965" bottom="0.78740157480314965" header="0" footer="0"/>
  <pageSetup paperSize="9" scale="80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31</vt:i4>
      </vt:variant>
    </vt:vector>
  </HeadingPairs>
  <TitlesOfParts>
    <vt:vector size="54" baseType="lpstr">
      <vt:lpstr>прил.1 (админ.)</vt:lpstr>
      <vt:lpstr>прил. 2 (поступл.21)</vt:lpstr>
      <vt:lpstr>прил. 3 (поступл. 22-23)</vt:lpstr>
      <vt:lpstr>прил.4 (пост.безв.21)</vt:lpstr>
      <vt:lpstr>прил.5 (пост.безв.22-23)</vt:lpstr>
      <vt:lpstr>прил.6 (безв.от пос.21) (2)</vt:lpstr>
      <vt:lpstr>прил.7 (норм.доходов)</vt:lpstr>
      <vt:lpstr>прил 8 (Рз,ПР 21)</vt:lpstr>
      <vt:lpstr>прил 9 (Рз,ПР 22-23)</vt:lpstr>
      <vt:lpstr>прил 10 (ЦС,ВР 21)</vt:lpstr>
      <vt:lpstr>прил 11 (ЦС,ВР 22-23)</vt:lpstr>
      <vt:lpstr>прил12(ведом 21)</vt:lpstr>
      <vt:lpstr>прил13(ведом 22-23)</vt:lpstr>
      <vt:lpstr>прил.14 (Источники 21)</vt:lpstr>
      <vt:lpstr>прил.15 (Источники 22-23)</vt:lpstr>
      <vt:lpstr>прил.16(безв.всего 21)</vt:lpstr>
      <vt:lpstr>прил.17(безв.всего 22-23)</vt:lpstr>
      <vt:lpstr>прил.18(дотация 21)</vt:lpstr>
      <vt:lpstr>прил.19(дотация 22-23)</vt:lpstr>
      <vt:lpstr>прил.20мун.внутр.заим.21-23)</vt:lpstr>
      <vt:lpstr>прил.21(гар. 21-23)</vt:lpstr>
      <vt:lpstr>прил.22мун.внеш.заим.21-23</vt:lpstr>
      <vt:lpstr>прил.23(гар.в ин.в.21-23)</vt:lpstr>
      <vt:lpstr>'прил 10 (ЦС,ВР 21)'!Заголовки_для_печати</vt:lpstr>
      <vt:lpstr>'прил 11 (ЦС,ВР 22-23)'!Заголовки_для_печати</vt:lpstr>
      <vt:lpstr>'прил 8 (Рз,ПР 21)'!Заголовки_для_печати</vt:lpstr>
      <vt:lpstr>'прил 9 (Рз,ПР 22-23)'!Заголовки_для_печати</vt:lpstr>
      <vt:lpstr>'прил. 2 (поступл.21)'!Заголовки_для_печати</vt:lpstr>
      <vt:lpstr>'прил. 3 (поступл. 22-23)'!Заголовки_для_печати</vt:lpstr>
      <vt:lpstr>'прил.1 (админ.)'!Заголовки_для_печати</vt:lpstr>
      <vt:lpstr>'прил.14 (Источники 21)'!Заголовки_для_печати</vt:lpstr>
      <vt:lpstr>'прил.15 (Источники 22-23)'!Заголовки_для_печати</vt:lpstr>
      <vt:lpstr>'прил.4 (пост.безв.21)'!Заголовки_для_печати</vt:lpstr>
      <vt:lpstr>'прил.5 (пост.безв.22-23)'!Заголовки_для_печати</vt:lpstr>
      <vt:lpstr>'прил.6 (безв.от пос.21) (2)'!Заголовки_для_печати</vt:lpstr>
      <vt:lpstr>'прил.7 (норм.доходов)'!Заголовки_для_печати</vt:lpstr>
      <vt:lpstr>'прил12(ведом 21)'!Заголовки_для_печати</vt:lpstr>
      <vt:lpstr>'прил13(ведом 22-23)'!Заголовки_для_печати</vt:lpstr>
      <vt:lpstr>'прил 10 (ЦС,ВР 21)'!Область_печати</vt:lpstr>
      <vt:lpstr>'прил 11 (ЦС,ВР 22-23)'!Область_печати</vt:lpstr>
      <vt:lpstr>'прил 8 (Рз,ПР 21)'!Область_печати</vt:lpstr>
      <vt:lpstr>'прил 9 (Рз,ПР 22-23)'!Область_печати</vt:lpstr>
      <vt:lpstr>'прил. 2 (поступл.21)'!Область_печати</vt:lpstr>
      <vt:lpstr>'прил. 3 (поступл. 22-23)'!Область_печати</vt:lpstr>
      <vt:lpstr>'прил.1 (админ.)'!Область_печати</vt:lpstr>
      <vt:lpstr>'прил.14 (Источники 21)'!Область_печати</vt:lpstr>
      <vt:lpstr>'прил.18(дотация 21)'!Область_печати</vt:lpstr>
      <vt:lpstr>'прил.19(дотация 22-23)'!Область_печати</vt:lpstr>
      <vt:lpstr>'прил.4 (пост.безв.21)'!Область_печати</vt:lpstr>
      <vt:lpstr>'прил.5 (пост.безв.22-23)'!Область_печати</vt:lpstr>
      <vt:lpstr>'прил.6 (безв.от пос.21) (2)'!Область_печати</vt:lpstr>
      <vt:lpstr>'прил.7 (норм.доходов)'!Область_печати</vt:lpstr>
      <vt:lpstr>'прил12(ведом 21)'!Область_печати</vt:lpstr>
      <vt:lpstr>'прил13(ведом 22-23)'!Область_печати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2021-04-02T08:17:04Z</dcterms:modified>
</cp:coreProperties>
</file>