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5628" windowWidth="14808" windowHeight="2496" tabRatio="852"/>
  </bookViews>
  <sheets>
    <sheet name="прил. 1 (поступл.22-24)" sheetId="5" r:id="rId1"/>
    <sheet name="прил.2(пост.безв.22)" sheetId="2" r:id="rId2"/>
    <sheet name="прил.3 (пост.безв.23-24)" sheetId="16" r:id="rId3"/>
    <sheet name="прил.5 (норм.доходов)" sheetId="26" r:id="rId4"/>
    <sheet name="прил 6 (Рз,ПР 22-24)" sheetId="6" r:id="rId5"/>
    <sheet name="прил 7 (ЦС,ВР 22)" sheetId="7" r:id="rId6"/>
    <sheet name="прил 8 (ЦС,ВР 23-24)" sheetId="18" r:id="rId7"/>
    <sheet name="прил9 (ведом 22)" sheetId="3" r:id="rId8"/>
    <sheet name="прил10 (ведом 23-24)" sheetId="19" r:id="rId9"/>
    <sheet name="прил.11 (Источники 22-24)" sheetId="8" r:id="rId10"/>
    <sheet name="прил.12 (безв.всего 22-24)" sheetId="9" r:id="rId11"/>
  </sheets>
  <definedNames>
    <definedName name="_xlnm._FilterDatabase" localSheetId="4" hidden="1">'прил 6 (Рз,ПР 22-24)'!$A$13:$AI$57</definedName>
    <definedName name="_xlnm._FilterDatabase" localSheetId="5" hidden="1">'прил 7 (ЦС,ВР 22)'!$A$4:$H$587</definedName>
    <definedName name="_xlnm._FilterDatabase" localSheetId="6" hidden="1">'прил 8 (ЦС,ВР 23-24)'!$A$4:$I$460</definedName>
    <definedName name="_xlnm._FilterDatabase" localSheetId="1" hidden="1">'прил.2(пост.безв.22)'!$C$5:$D$411</definedName>
    <definedName name="_xlnm._FilterDatabase" localSheetId="2" hidden="1">'прил.3 (пост.безв.23-24)'!$A$13:$J$62</definedName>
    <definedName name="_xlnm._FilterDatabase" localSheetId="8" hidden="1">'прил10 (ведом 23-24)'!$A$4:$N$649</definedName>
    <definedName name="_xlnm._FilterDatabase" localSheetId="7" hidden="1">'прил9 (ведом 22)'!$A$4:$M$876</definedName>
    <definedName name="Z_168CADD9_CFDC_4445_BFE6_DAD4B9423C72_.wvu.FilterData" localSheetId="5" hidden="1">'прил 7 (ЦС,ВР 22)'!#REF!</definedName>
    <definedName name="Z_168CADD9_CFDC_4445_BFE6_DAD4B9423C72_.wvu.FilterData" localSheetId="6" hidden="1">'прил 8 (ЦС,ВР 23-24)'!#REF!</definedName>
    <definedName name="Z_1F25B6A1_C9F7_11D8_A2FD_006098EF8B30_.wvu.FilterData" localSheetId="5" hidden="1">'прил 7 (ЦС,ВР 22)'!#REF!</definedName>
    <definedName name="Z_1F25B6A1_C9F7_11D8_A2FD_006098EF8B30_.wvu.FilterData" localSheetId="6" hidden="1">'прил 8 (ЦС,ВР 23-24)'!#REF!</definedName>
    <definedName name="Z_29D950F2_21ED_48E6_BFC6_87DD89E0125A_.wvu.FilterData" localSheetId="5" hidden="1">'прил 7 (ЦС,ВР 22)'!#REF!</definedName>
    <definedName name="Z_29D950F2_21ED_48E6_BFC6_87DD89E0125A_.wvu.FilterData" localSheetId="6" hidden="1">'прил 8 (ЦС,ВР 23-24)'!#REF!</definedName>
    <definedName name="Z_2CA7FCD5_27A5_4474_9D49_7A7E23BD2FF9_.wvu.FilterData" localSheetId="5" hidden="1">'прил 7 (ЦС,ВР 22)'!#REF!</definedName>
    <definedName name="Z_2CA7FCD5_27A5_4474_9D49_7A7E23BD2FF9_.wvu.FilterData" localSheetId="6" hidden="1">'прил 8 (ЦС,ВР 23-24)'!#REF!</definedName>
    <definedName name="Z_48E28AC5_4E0A_4FBA_AE6D_340F9E8D4B3C_.wvu.FilterData" localSheetId="5" hidden="1">'прил 7 (ЦС,ВР 22)'!#REF!</definedName>
    <definedName name="Z_48E28AC5_4E0A_4FBA_AE6D_340F9E8D4B3C_.wvu.FilterData" localSheetId="6" hidden="1">'прил 8 (ЦС,ВР 23-24)'!#REF!</definedName>
    <definedName name="Z_6398E0F2_3205_40F4_BF0A_C9F4D0DA9A75_.wvu.FilterData" localSheetId="5" hidden="1">'прил 7 (ЦС,ВР 22)'!#REF!</definedName>
    <definedName name="Z_6398E0F2_3205_40F4_BF0A_C9F4D0DA9A75_.wvu.FilterData" localSheetId="6" hidden="1">'прил 8 (ЦС,ВР 23-24)'!#REF!</definedName>
    <definedName name="Z_64DF1B77_0EDD_4B56_A91C_5E003BE599EF_.wvu.FilterData" localSheetId="5" hidden="1">'прил 7 (ЦС,ВР 22)'!#REF!</definedName>
    <definedName name="Z_64DF1B77_0EDD_4B56_A91C_5E003BE599EF_.wvu.FilterData" localSheetId="6" hidden="1">'прил 8 (ЦС,ВР 23-24)'!#REF!</definedName>
    <definedName name="Z_6786C020_BCF1_463A_B3E9_7DE69D46EAB3_.wvu.FilterData" localSheetId="5" hidden="1">'прил 7 (ЦС,ВР 22)'!#REF!</definedName>
    <definedName name="Z_6786C020_BCF1_463A_B3E9_7DE69D46EAB3_.wvu.FilterData" localSheetId="6" hidden="1">'прил 8 (ЦС,ВР 23-24)'!#REF!</definedName>
    <definedName name="Z_8E2E7D81_C767_11D8_A2FD_006098EF8B30_.wvu.FilterData" localSheetId="5" hidden="1">'прил 7 (ЦС,ВР 22)'!#REF!</definedName>
    <definedName name="Z_8E2E7D81_C767_11D8_A2FD_006098EF8B30_.wvu.FilterData" localSheetId="6" hidden="1">'прил 8 (ЦС,ВР 23-24)'!#REF!</definedName>
    <definedName name="Z_97D0CDFA_8A34_4B3C_BA32_D4F0E3218B75_.wvu.FilterData" localSheetId="5" hidden="1">'прил 7 (ЦС,ВР 22)'!#REF!</definedName>
    <definedName name="Z_97D0CDFA_8A34_4B3C_BA32_D4F0E3218B75_.wvu.FilterData" localSheetId="6" hidden="1">'прил 8 (ЦС,ВР 23-24)'!#REF!</definedName>
    <definedName name="Z_B246FE0E_E986_4211_B02A_04E4565C0FED_.wvu.Cols" localSheetId="5" hidden="1">'прил 7 (ЦС,ВР 22)'!$A:$A,'прил 7 (ЦС,ВР 22)'!#REF!</definedName>
    <definedName name="Z_B246FE0E_E986_4211_B02A_04E4565C0FED_.wvu.Cols" localSheetId="6" hidden="1">'прил 8 (ЦС,ВР 23-24)'!$A:$A,'прил 8 (ЦС,ВР 23-24)'!#REF!</definedName>
    <definedName name="Z_B246FE0E_E986_4211_B02A_04E4565C0FED_.wvu.FilterData" localSheetId="5" hidden="1">'прил 7 (ЦС,ВР 22)'!#REF!</definedName>
    <definedName name="Z_B246FE0E_E986_4211_B02A_04E4565C0FED_.wvu.FilterData" localSheetId="6" hidden="1">'прил 8 (ЦС,ВР 23-24)'!#REF!</definedName>
    <definedName name="Z_B246FE0E_E986_4211_B02A_04E4565C0FED_.wvu.PrintArea" localSheetId="5" hidden="1">'прил 7 (ЦС,ВР 22)'!#REF!</definedName>
    <definedName name="Z_B246FE0E_E986_4211_B02A_04E4565C0FED_.wvu.PrintArea" localSheetId="6" hidden="1">'прил 8 (ЦС,ВР 23-24)'!#REF!</definedName>
    <definedName name="Z_B246FE0E_E986_4211_B02A_04E4565C0FED_.wvu.PrintTitles" localSheetId="5" hidden="1">'прил 7 (ЦС,ВР 22)'!#REF!</definedName>
    <definedName name="Z_B246FE0E_E986_4211_B02A_04E4565C0FED_.wvu.PrintTitles" localSheetId="6" hidden="1">'прил 8 (ЦС,ВР 23-24)'!#REF!</definedName>
    <definedName name="Z_C54CDF8B_FA5C_4A02_B343_3FEFD9721392_.wvu.FilterData" localSheetId="5" hidden="1">'прил 7 (ЦС,ВР 22)'!#REF!</definedName>
    <definedName name="Z_C54CDF8B_FA5C_4A02_B343_3FEFD9721392_.wvu.FilterData" localSheetId="6" hidden="1">'прил 8 (ЦС,ВР 23-24)'!#REF!</definedName>
    <definedName name="Z_D7174C22_B878_4584_A218_37ED88979064_.wvu.FilterData" localSheetId="5" hidden="1">'прил 7 (ЦС,ВР 22)'!#REF!</definedName>
    <definedName name="Z_D7174C22_B878_4584_A218_37ED88979064_.wvu.FilterData" localSheetId="6" hidden="1">'прил 8 (ЦС,ВР 23-24)'!#REF!</definedName>
    <definedName name="Z_DD7538FB_7299_4DEE_90D5_2739132A1616_.wvu.FilterData" localSheetId="5" hidden="1">'прил 7 (ЦС,ВР 22)'!#REF!</definedName>
    <definedName name="Z_DD7538FB_7299_4DEE_90D5_2739132A1616_.wvu.FilterData" localSheetId="6" hidden="1">'прил 8 (ЦС,ВР 23-24)'!#REF!</definedName>
    <definedName name="Z_E4B436A8_4A5B_422F_8C0E_9267F763D19D_.wvu.FilterData" localSheetId="5" hidden="1">'прил 7 (ЦС,ВР 22)'!#REF!</definedName>
    <definedName name="Z_E4B436A8_4A5B_422F_8C0E_9267F763D19D_.wvu.FilterData" localSheetId="6" hidden="1">'прил 8 (ЦС,ВР 23-24)'!#REF!</definedName>
    <definedName name="Z_E6BB4361_1D58_11D9_A2FD_006098EF8B30_.wvu.FilterData" localSheetId="5" hidden="1">'прил 7 (ЦС,ВР 22)'!#REF!</definedName>
    <definedName name="Z_E6BB4361_1D58_11D9_A2FD_006098EF8B30_.wvu.FilterData" localSheetId="6" hidden="1">'прил 8 (ЦС,ВР 23-24)'!#REF!</definedName>
    <definedName name="Z_EF486DA3_1DF3_11D9_A2FD_006098EF8B30_.wvu.FilterData" localSheetId="5" hidden="1">'прил 7 (ЦС,ВР 22)'!#REF!</definedName>
    <definedName name="Z_EF486DA3_1DF3_11D9_A2FD_006098EF8B30_.wvu.FilterData" localSheetId="6" hidden="1">'прил 8 (ЦС,ВР 23-24)'!#REF!</definedName>
    <definedName name="Z_EF486DA8_1DF3_11D9_A2FD_006098EF8B30_.wvu.FilterData" localSheetId="5" hidden="1">'прил 7 (ЦС,ВР 22)'!#REF!</definedName>
    <definedName name="Z_EF486DA8_1DF3_11D9_A2FD_006098EF8B30_.wvu.FilterData" localSheetId="6" hidden="1">'прил 8 (ЦС,ВР 23-24)'!#REF!</definedName>
    <definedName name="Z_EF486DAA_1DF3_11D9_A2FD_006098EF8B30_.wvu.FilterData" localSheetId="5" hidden="1">'прил 7 (ЦС,ВР 22)'!#REF!</definedName>
    <definedName name="Z_EF486DAA_1DF3_11D9_A2FD_006098EF8B30_.wvu.FilterData" localSheetId="6" hidden="1">'прил 8 (ЦС,ВР 23-24)'!#REF!</definedName>
    <definedName name="Z_EF486DAC_1DF3_11D9_A2FD_006098EF8B30_.wvu.FilterData" localSheetId="5" hidden="1">'прил 7 (ЦС,ВР 22)'!#REF!</definedName>
    <definedName name="Z_EF486DAC_1DF3_11D9_A2FD_006098EF8B30_.wvu.FilterData" localSheetId="6" hidden="1">'прил 8 (ЦС,ВР 23-24)'!#REF!</definedName>
    <definedName name="Z_EF5A4981_C8E4_11D8_A2FC_006098EF8BA8_.wvu.Cols" localSheetId="5" hidden="1">'прил 7 (ЦС,ВР 22)'!$A:$A,'прил 7 (ЦС,ВР 22)'!#REF!,'прил 7 (ЦС,ВР 22)'!#REF!</definedName>
    <definedName name="Z_EF5A4981_C8E4_11D8_A2FC_006098EF8BA8_.wvu.Cols" localSheetId="6" hidden="1">'прил 8 (ЦС,ВР 23-24)'!$A:$A,'прил 8 (ЦС,ВР 23-24)'!#REF!,'прил 8 (ЦС,ВР 23-24)'!#REF!</definedName>
    <definedName name="Z_EF5A4981_C8E4_11D8_A2FC_006098EF8BA8_.wvu.FilterData" localSheetId="5" hidden="1">'прил 7 (ЦС,ВР 22)'!#REF!</definedName>
    <definedName name="Z_EF5A4981_C8E4_11D8_A2FC_006098EF8BA8_.wvu.FilterData" localSheetId="6" hidden="1">'прил 8 (ЦС,ВР 23-24)'!#REF!</definedName>
    <definedName name="Z_EF5A4981_C8E4_11D8_A2FC_006098EF8BA8_.wvu.PrintArea" localSheetId="5" hidden="1">'прил 7 (ЦС,ВР 22)'!#REF!</definedName>
    <definedName name="Z_EF5A4981_C8E4_11D8_A2FC_006098EF8BA8_.wvu.PrintArea" localSheetId="6" hidden="1">'прил 8 (ЦС,ВР 23-24)'!#REF!</definedName>
    <definedName name="Z_EF5A4981_C8E4_11D8_A2FC_006098EF8BA8_.wvu.PrintTitles" localSheetId="5" hidden="1">'прил 7 (ЦС,ВР 22)'!#REF!</definedName>
    <definedName name="Z_EF5A4981_C8E4_11D8_A2FC_006098EF8BA8_.wvu.PrintTitles" localSheetId="6" hidden="1">'прил 8 (ЦС,ВР 23-24)'!#REF!</definedName>
    <definedName name="_xlnm.Print_Titles" localSheetId="4">'прил 6 (Рз,ПР 22-24)'!$15:$15</definedName>
    <definedName name="_xlnm.Print_Titles" localSheetId="5">'прил 7 (ЦС,ВР 22)'!$13:$13</definedName>
    <definedName name="_xlnm.Print_Titles" localSheetId="6">'прил 8 (ЦС,ВР 23-24)'!$14:$14</definedName>
    <definedName name="_xlnm.Print_Titles" localSheetId="0">'прил. 1 (поступл.22-24)'!$13:$13</definedName>
    <definedName name="_xlnm.Print_Titles" localSheetId="9">'прил.11 (Источники 22-24)'!$14:$14</definedName>
    <definedName name="_xlnm.Print_Titles" localSheetId="1">'прил.2(пост.безв.22)'!$14:$14</definedName>
    <definedName name="_xlnm.Print_Titles" localSheetId="2">'прил.3 (пост.безв.23-24)'!$13:$13</definedName>
    <definedName name="_xlnm.Print_Titles" localSheetId="3">'прил.5 (норм.доходов)'!$14:$14</definedName>
    <definedName name="_xlnm.Print_Titles" localSheetId="8">'прил10 (ведом 23-24)'!$15:$15</definedName>
    <definedName name="_xlnm.Print_Titles" localSheetId="7">'прил9 (ведом 22)'!$14:$14</definedName>
    <definedName name="_xlnm.Print_Area" localSheetId="4">'прил 6 (Рз,ПР 22-24)'!$A$1:$F$65</definedName>
    <definedName name="_xlnm.Print_Area" localSheetId="5">'прил 7 (ЦС,ВР 22)'!$A$1:$H$576</definedName>
    <definedName name="_xlnm.Print_Area" localSheetId="6">'прил 8 (ЦС,ВР 23-24)'!$A$1:$I$446</definedName>
    <definedName name="_xlnm.Print_Area" localSheetId="0">'прил. 1 (поступл.22-24)'!$A$1:$E$49</definedName>
    <definedName name="_xlnm.Print_Area" localSheetId="9">'прил.11 (Источники 22-24)'!$A$1:$E$33</definedName>
    <definedName name="_xlnm.Print_Area" localSheetId="10">'прил.12 (безв.всего 22-24)'!$A$1:$D$23</definedName>
    <definedName name="_xlnm.Print_Area" localSheetId="1">'прил.2(пост.безв.22)'!$A$1:$C$78</definedName>
    <definedName name="_xlnm.Print_Area" localSheetId="2">'прил.3 (пост.безв.23-24)'!$A$1:$D$67</definedName>
    <definedName name="_xlnm.Print_Area" localSheetId="3">'прил.5 (норм.доходов)'!$A$1:$E$74</definedName>
    <definedName name="_xlnm.Print_Area" localSheetId="8">'прил10 (ведом 23-24)'!$A$1:$N$586</definedName>
    <definedName name="_xlnm.Print_Area" localSheetId="7">'прил9 (ведом 22)'!$A$1:$M$765</definedName>
  </definedNames>
  <calcPr calcId="145621"/>
</workbook>
</file>

<file path=xl/calcChain.xml><?xml version="1.0" encoding="utf-8"?>
<calcChain xmlns="http://schemas.openxmlformats.org/spreadsheetml/2006/main">
  <c r="H180" i="7" l="1"/>
  <c r="H191" i="7"/>
  <c r="H192" i="7"/>
  <c r="M562" i="3"/>
  <c r="L562" i="3"/>
  <c r="M561" i="3"/>
  <c r="L561" i="3"/>
  <c r="M563" i="3"/>
  <c r="L563" i="3"/>
  <c r="L564" i="3"/>
  <c r="M625" i="3"/>
  <c r="M341" i="3" l="1"/>
  <c r="M316" i="3"/>
  <c r="M417" i="3" l="1"/>
  <c r="M538" i="3"/>
  <c r="M444" i="3" l="1"/>
  <c r="M442" i="3"/>
  <c r="M658" i="3" l="1"/>
  <c r="M672" i="3"/>
  <c r="C16" i="2" l="1"/>
  <c r="C34" i="5"/>
  <c r="M497" i="19" l="1"/>
  <c r="M491" i="19"/>
  <c r="M669" i="3"/>
  <c r="M676" i="3"/>
  <c r="H566" i="7" l="1"/>
  <c r="H565" i="7" s="1"/>
  <c r="H564" i="7" s="1"/>
  <c r="M59" i="3"/>
  <c r="M248" i="3"/>
  <c r="M247" i="3" s="1"/>
  <c r="L249" i="3"/>
  <c r="L248" i="3" s="1"/>
  <c r="L247" i="3" s="1"/>
  <c r="H101" i="7" l="1"/>
  <c r="H100" i="7" s="1"/>
  <c r="H315" i="7" l="1"/>
  <c r="H314" i="7" s="1"/>
  <c r="M134" i="3"/>
  <c r="M39" i="3"/>
  <c r="N39" i="19"/>
  <c r="M39" i="19"/>
  <c r="N37" i="19"/>
  <c r="M37" i="19"/>
  <c r="M37" i="3"/>
  <c r="N44" i="19"/>
  <c r="M44" i="19"/>
  <c r="N45" i="19"/>
  <c r="M45" i="19"/>
  <c r="M44" i="3"/>
  <c r="M45" i="3"/>
  <c r="N578" i="19" l="1"/>
  <c r="M578" i="19"/>
  <c r="M759" i="3"/>
  <c r="M756" i="3"/>
  <c r="N575" i="19"/>
  <c r="M575" i="19"/>
  <c r="N572" i="19"/>
  <c r="M572" i="19"/>
  <c r="M753" i="3"/>
  <c r="M515" i="3" l="1"/>
  <c r="L516" i="3"/>
  <c r="L515" i="3" s="1"/>
  <c r="H70" i="7"/>
  <c r="H69" i="7"/>
  <c r="M471" i="3"/>
  <c r="L473" i="3"/>
  <c r="L472" i="3"/>
  <c r="L471" i="3" l="1"/>
  <c r="H68" i="7"/>
  <c r="C72" i="2"/>
  <c r="C71" i="2" s="1"/>
  <c r="C48" i="2" l="1"/>
  <c r="D38" i="16"/>
  <c r="C38" i="16"/>
  <c r="D40" i="16"/>
  <c r="C40" i="16"/>
  <c r="C50" i="2"/>
  <c r="C55" i="2"/>
  <c r="M393" i="3"/>
  <c r="M391" i="3"/>
  <c r="H225" i="7" l="1"/>
  <c r="H224" i="7" s="1"/>
  <c r="I189" i="18" l="1"/>
  <c r="I188" i="18" s="1"/>
  <c r="H189" i="18"/>
  <c r="H188" i="18" s="1"/>
  <c r="M496" i="19"/>
  <c r="N496" i="19"/>
  <c r="L497" i="19"/>
  <c r="L496" i="19" s="1"/>
  <c r="L669" i="3"/>
  <c r="L668" i="3" s="1"/>
  <c r="M668" i="3"/>
  <c r="D25" i="16"/>
  <c r="C25" i="16"/>
  <c r="C35" i="2"/>
  <c r="D62" i="16"/>
  <c r="C62" i="16"/>
  <c r="C70" i="2"/>
  <c r="C69" i="2" s="1"/>
  <c r="M42" i="19"/>
  <c r="N42" i="19"/>
  <c r="C16" i="5"/>
  <c r="M291" i="3" l="1"/>
  <c r="M290" i="3" s="1"/>
  <c r="M289" i="3" s="1"/>
  <c r="M288" i="3" s="1"/>
  <c r="M287" i="3" s="1"/>
  <c r="L292" i="3"/>
  <c r="L291" i="3" s="1"/>
  <c r="L290" i="3" s="1"/>
  <c r="L289" i="3" s="1"/>
  <c r="L288" i="3" s="1"/>
  <c r="L287" i="3" s="1"/>
  <c r="K291" i="3" l="1"/>
  <c r="K290" i="3" s="1"/>
  <c r="K289" i="3" s="1"/>
  <c r="K288" i="3" s="1"/>
  <c r="K287" i="3" s="1"/>
  <c r="M574" i="3" l="1"/>
  <c r="M578" i="3"/>
  <c r="M500" i="3" l="1"/>
  <c r="M499" i="3"/>
  <c r="M502" i="3"/>
  <c r="M160" i="3" l="1"/>
  <c r="M419" i="3" l="1"/>
  <c r="M450" i="3"/>
  <c r="M447" i="3"/>
  <c r="M449" i="3"/>
  <c r="M101" i="3"/>
  <c r="B18" i="9" s="1"/>
  <c r="M168" i="3"/>
  <c r="N143" i="19"/>
  <c r="M143" i="19"/>
  <c r="N141" i="19"/>
  <c r="M141" i="19"/>
  <c r="H296" i="7"/>
  <c r="H295" i="7" s="1"/>
  <c r="H294" i="7" s="1"/>
  <c r="M122" i="3"/>
  <c r="M121" i="3" s="1"/>
  <c r="L123" i="3"/>
  <c r="L122" i="3" s="1"/>
  <c r="L121" i="3" s="1"/>
  <c r="M119" i="3"/>
  <c r="M143" i="3"/>
  <c r="C31" i="5" l="1"/>
  <c r="E24" i="5"/>
  <c r="D24" i="5"/>
  <c r="C24" i="5"/>
  <c r="D18" i="5"/>
  <c r="C18" i="5"/>
  <c r="I134" i="18" l="1"/>
  <c r="I133" i="18" s="1"/>
  <c r="H134" i="18"/>
  <c r="H133" i="18" s="1"/>
  <c r="L448" i="19"/>
  <c r="L446" i="19"/>
  <c r="M447" i="19"/>
  <c r="L447" i="19" s="1"/>
  <c r="N447" i="19"/>
  <c r="M444" i="19"/>
  <c r="C32" i="2"/>
  <c r="C31" i="2" s="1"/>
  <c r="M603" i="3" l="1"/>
  <c r="H159" i="7" s="1"/>
  <c r="H158" i="7" s="1"/>
  <c r="K602" i="3"/>
  <c r="L603" i="3" l="1"/>
  <c r="L602" i="3" s="1"/>
  <c r="M602" i="3"/>
  <c r="M245" i="3"/>
  <c r="M244" i="3" s="1"/>
  <c r="K245" i="3"/>
  <c r="K244" i="3" s="1"/>
  <c r="M242" i="3"/>
  <c r="M241" i="3" s="1"/>
  <c r="K242" i="3"/>
  <c r="K241" i="3" s="1"/>
  <c r="M239" i="3"/>
  <c r="M238" i="3" s="1"/>
  <c r="K239" i="3"/>
  <c r="K238" i="3" s="1"/>
  <c r="M236" i="3"/>
  <c r="M235" i="3" s="1"/>
  <c r="K236" i="3"/>
  <c r="K235" i="3" s="1"/>
  <c r="M233" i="3"/>
  <c r="M232" i="3" s="1"/>
  <c r="K233" i="3"/>
  <c r="K232" i="3" s="1"/>
  <c r="M230" i="3"/>
  <c r="M229" i="3" s="1"/>
  <c r="K230" i="3"/>
  <c r="K229" i="3" s="1"/>
  <c r="M227" i="3"/>
  <c r="M226" i="3" s="1"/>
  <c r="K227" i="3"/>
  <c r="K226" i="3" s="1"/>
  <c r="M224" i="3"/>
  <c r="M223" i="3" s="1"/>
  <c r="K224" i="3"/>
  <c r="K223" i="3" s="1"/>
  <c r="M222" i="3" l="1"/>
  <c r="K222" i="3"/>
  <c r="M221" i="3" l="1"/>
  <c r="M220" i="3" s="1"/>
  <c r="M820" i="3" s="1"/>
  <c r="K221" i="3"/>
  <c r="K220" i="3" s="1"/>
  <c r="K219" i="3" s="1"/>
  <c r="H563" i="7"/>
  <c r="H562" i="7" s="1"/>
  <c r="H561" i="7" s="1"/>
  <c r="H560" i="7"/>
  <c r="H559" i="7" s="1"/>
  <c r="H558" i="7" s="1"/>
  <c r="H557" i="7"/>
  <c r="H556" i="7" s="1"/>
  <c r="H555" i="7" s="1"/>
  <c r="H554" i="7"/>
  <c r="H553" i="7" s="1"/>
  <c r="H552" i="7" s="1"/>
  <c r="H551" i="7"/>
  <c r="H550" i="7" s="1"/>
  <c r="H549" i="7" s="1"/>
  <c r="H548" i="7"/>
  <c r="H547" i="7" s="1"/>
  <c r="H546" i="7" s="1"/>
  <c r="H545" i="7"/>
  <c r="H544" i="7" s="1"/>
  <c r="H543" i="7" s="1"/>
  <c r="H542" i="7"/>
  <c r="H541" i="7" s="1"/>
  <c r="H540" i="7" s="1"/>
  <c r="L246" i="3"/>
  <c r="L245" i="3" s="1"/>
  <c r="L244" i="3" s="1"/>
  <c r="L243" i="3"/>
  <c r="L242" i="3" s="1"/>
  <c r="L241" i="3" s="1"/>
  <c r="L240" i="3"/>
  <c r="L239" i="3" s="1"/>
  <c r="L238" i="3" s="1"/>
  <c r="L237" i="3"/>
  <c r="L236" i="3" s="1"/>
  <c r="L235" i="3" s="1"/>
  <c r="L234" i="3"/>
  <c r="L233" i="3" s="1"/>
  <c r="L232" i="3" s="1"/>
  <c r="L231" i="3"/>
  <c r="L230" i="3" s="1"/>
  <c r="L229" i="3" s="1"/>
  <c r="L228" i="3"/>
  <c r="L227" i="3" s="1"/>
  <c r="L226" i="3" s="1"/>
  <c r="L225" i="3"/>
  <c r="L224" i="3" s="1"/>
  <c r="L223" i="3" s="1"/>
  <c r="L222" i="3" l="1"/>
  <c r="L221" i="3" s="1"/>
  <c r="L220" i="3" s="1"/>
  <c r="L219" i="3" s="1"/>
  <c r="H539" i="7"/>
  <c r="H538" i="7" s="1"/>
  <c r="D58" i="6"/>
  <c r="M219" i="3"/>
  <c r="M301" i="3"/>
  <c r="M300" i="3"/>
  <c r="M657" i="3"/>
  <c r="M667" i="3"/>
  <c r="K581" i="19" l="1"/>
  <c r="K580" i="19"/>
  <c r="K577" i="19"/>
  <c r="K574" i="19"/>
  <c r="K571" i="19"/>
  <c r="K564" i="19"/>
  <c r="K561" i="19"/>
  <c r="K558" i="19"/>
  <c r="K555" i="19"/>
  <c r="K544" i="19"/>
  <c r="K543" i="19"/>
  <c r="K542" i="19" s="1"/>
  <c r="K541" i="19" s="1"/>
  <c r="K540" i="19" s="1"/>
  <c r="K536" i="19"/>
  <c r="K535" i="19" s="1"/>
  <c r="K534" i="19" s="1"/>
  <c r="K533" i="19" s="1"/>
  <c r="K532" i="19" s="1"/>
  <c r="K529" i="19"/>
  <c r="K528" i="19" s="1"/>
  <c r="K526" i="19"/>
  <c r="K525" i="19" s="1"/>
  <c r="K523" i="19"/>
  <c r="K522" i="19" s="1"/>
  <c r="K514" i="19"/>
  <c r="K512" i="19"/>
  <c r="K511" i="19" s="1"/>
  <c r="K510" i="19" s="1"/>
  <c r="K509" i="19" s="1"/>
  <c r="K508" i="19" s="1"/>
  <c r="K506" i="19"/>
  <c r="K505" i="19" s="1"/>
  <c r="K502" i="19"/>
  <c r="K501" i="19" s="1"/>
  <c r="K494" i="19"/>
  <c r="K492" i="19"/>
  <c r="K490" i="19"/>
  <c r="K489" i="19"/>
  <c r="K486" i="19"/>
  <c r="K482" i="19"/>
  <c r="K481" i="19" s="1"/>
  <c r="K480" i="19" s="1"/>
  <c r="K475" i="19"/>
  <c r="K474" i="19" s="1"/>
  <c r="K473" i="19" s="1"/>
  <c r="K472" i="19" s="1"/>
  <c r="K471" i="19" s="1"/>
  <c r="K470" i="19" s="1"/>
  <c r="K464" i="19"/>
  <c r="K460" i="19"/>
  <c r="K454" i="19"/>
  <c r="K451" i="19"/>
  <c r="K443" i="19"/>
  <c r="K442" i="19" s="1"/>
  <c r="K440" i="19"/>
  <c r="K439" i="19" s="1"/>
  <c r="K433" i="19"/>
  <c r="K432" i="19" s="1"/>
  <c r="K431" i="19" s="1"/>
  <c r="K430" i="19" s="1"/>
  <c r="K429" i="19" s="1"/>
  <c r="K427" i="19"/>
  <c r="K426" i="19" s="1"/>
  <c r="K425" i="19" s="1"/>
  <c r="K424" i="19" s="1"/>
  <c r="K423" i="19" s="1"/>
  <c r="K421" i="19"/>
  <c r="K419" i="19"/>
  <c r="K412" i="19"/>
  <c r="K411" i="19" s="1"/>
  <c r="K410" i="19" s="1"/>
  <c r="K409" i="19" s="1"/>
  <c r="K408" i="19" s="1"/>
  <c r="K407" i="19" s="1"/>
  <c r="K402" i="19"/>
  <c r="K401" i="19" s="1"/>
  <c r="K400" i="19" s="1"/>
  <c r="K399" i="19" s="1"/>
  <c r="K398" i="19" s="1"/>
  <c r="K397" i="19" s="1"/>
  <c r="K395" i="19"/>
  <c r="K393" i="19"/>
  <c r="K391" i="19"/>
  <c r="K390" i="19" s="1"/>
  <c r="K387" i="19"/>
  <c r="K386" i="19" s="1"/>
  <c r="K380" i="19"/>
  <c r="K379" i="19"/>
  <c r="K378" i="19"/>
  <c r="K377" i="19" s="1"/>
  <c r="K376" i="19" s="1"/>
  <c r="K375" i="19" s="1"/>
  <c r="K374" i="19" s="1"/>
  <c r="K372" i="19"/>
  <c r="K371" i="19" s="1"/>
  <c r="K370" i="19" s="1"/>
  <c r="K369" i="19" s="1"/>
  <c r="K367" i="19"/>
  <c r="K365" i="19"/>
  <c r="K364" i="19"/>
  <c r="K363" i="19"/>
  <c r="K362" i="19" s="1"/>
  <c r="K357" i="19"/>
  <c r="K351" i="19"/>
  <c r="K350" i="19" s="1"/>
  <c r="K349" i="19" s="1"/>
  <c r="K345" i="19"/>
  <c r="K343" i="19"/>
  <c r="K340" i="19"/>
  <c r="K337" i="19"/>
  <c r="K334" i="19"/>
  <c r="K330" i="19"/>
  <c r="K326" i="19"/>
  <c r="K323" i="19"/>
  <c r="K320" i="19"/>
  <c r="K319" i="19"/>
  <c r="K318" i="19"/>
  <c r="K317" i="19" s="1"/>
  <c r="K312" i="19"/>
  <c r="K306" i="19"/>
  <c r="K305" i="19" s="1"/>
  <c r="K304" i="19" s="1"/>
  <c r="K303" i="19" s="1"/>
  <c r="K301" i="19"/>
  <c r="K300" i="19" s="1"/>
  <c r="K299" i="19" s="1"/>
  <c r="K298" i="19" s="1"/>
  <c r="K296" i="19"/>
  <c r="K294" i="19"/>
  <c r="K293" i="19"/>
  <c r="K292" i="19"/>
  <c r="K290" i="19"/>
  <c r="K283" i="19"/>
  <c r="K282" i="19" s="1"/>
  <c r="K280" i="19"/>
  <c r="K279" i="19" s="1"/>
  <c r="K277" i="19"/>
  <c r="K276" i="19" s="1"/>
  <c r="K269" i="19"/>
  <c r="K268" i="19" s="1"/>
  <c r="K267" i="19" s="1"/>
  <c r="K266" i="19" s="1"/>
  <c r="K265" i="19" s="1"/>
  <c r="K264" i="19" s="1"/>
  <c r="K263" i="19" s="1"/>
  <c r="K261" i="19"/>
  <c r="K260" i="19"/>
  <c r="K259" i="19" s="1"/>
  <c r="K253" i="19"/>
  <c r="K252" i="19" s="1"/>
  <c r="K251" i="19" s="1"/>
  <c r="K250" i="19" s="1"/>
  <c r="K249" i="19" s="1"/>
  <c r="K248" i="19" s="1"/>
  <c r="K247" i="19"/>
  <c r="K246" i="19" s="1"/>
  <c r="K245" i="19" s="1"/>
  <c r="K244" i="19" s="1"/>
  <c r="K243" i="19" s="1"/>
  <c r="K242" i="19" s="1"/>
  <c r="K238" i="19"/>
  <c r="K237" i="19" s="1"/>
  <c r="K236" i="19" s="1"/>
  <c r="K235" i="19" s="1"/>
  <c r="K233" i="19"/>
  <c r="K232" i="19" s="1"/>
  <c r="K230" i="19"/>
  <c r="K229" i="19" s="1"/>
  <c r="K227" i="19"/>
  <c r="K225" i="19"/>
  <c r="K224" i="19"/>
  <c r="K223" i="19"/>
  <c r="K219" i="19"/>
  <c r="K215" i="19"/>
  <c r="K214" i="19" s="1"/>
  <c r="K213" i="19" s="1"/>
  <c r="K204" i="19"/>
  <c r="K203" i="19" s="1"/>
  <c r="K202" i="19" s="1"/>
  <c r="K201" i="19" s="1"/>
  <c r="K200" i="19" s="1"/>
  <c r="K199" i="19" s="1"/>
  <c r="K196" i="19"/>
  <c r="K195" i="19" s="1"/>
  <c r="K194" i="19" s="1"/>
  <c r="K193" i="19" s="1"/>
  <c r="K192" i="19" s="1"/>
  <c r="K191" i="19" s="1"/>
  <c r="K189" i="19"/>
  <c r="K188" i="19" s="1"/>
  <c r="K186" i="19"/>
  <c r="K185" i="19" s="1"/>
  <c r="K178" i="19"/>
  <c r="K177" i="19" s="1"/>
  <c r="K176" i="19" s="1"/>
  <c r="K175" i="19" s="1"/>
  <c r="K174" i="19" s="1"/>
  <c r="K169" i="19"/>
  <c r="K168" i="19" s="1"/>
  <c r="K167" i="19" s="1"/>
  <c r="K166" i="19" s="1"/>
  <c r="K165" i="19" s="1"/>
  <c r="K163" i="19"/>
  <c r="K162" i="19" s="1"/>
  <c r="K161" i="19" s="1"/>
  <c r="K160" i="19" s="1"/>
  <c r="K159" i="19" s="1"/>
  <c r="K156" i="19"/>
  <c r="K155" i="19" s="1"/>
  <c r="K154" i="19" s="1"/>
  <c r="K153" i="19" s="1"/>
  <c r="K152" i="19" s="1"/>
  <c r="K151" i="19"/>
  <c r="K150" i="19" s="1"/>
  <c r="K149" i="19"/>
  <c r="K147" i="19" s="1"/>
  <c r="K142" i="19"/>
  <c r="K140" i="19"/>
  <c r="K135" i="19"/>
  <c r="K134" i="19" s="1"/>
  <c r="K133" i="19" s="1"/>
  <c r="K131" i="19"/>
  <c r="K130" i="19" s="1"/>
  <c r="K129" i="19" s="1"/>
  <c r="K125" i="19"/>
  <c r="K124" i="19" s="1"/>
  <c r="K123" i="19" s="1"/>
  <c r="K122" i="19" s="1"/>
  <c r="K121" i="19" s="1"/>
  <c r="K119" i="19"/>
  <c r="K118" i="19" s="1"/>
  <c r="K116" i="19"/>
  <c r="K115" i="19" s="1"/>
  <c r="K109" i="19"/>
  <c r="K108" i="19" s="1"/>
  <c r="K107" i="19" s="1"/>
  <c r="K104" i="19"/>
  <c r="K103" i="19" s="1"/>
  <c r="K102" i="19" s="1"/>
  <c r="K101" i="19" s="1"/>
  <c r="K99" i="19"/>
  <c r="K98" i="19" s="1"/>
  <c r="K96" i="19"/>
  <c r="K95" i="19" s="1"/>
  <c r="K90" i="19"/>
  <c r="K88" i="19"/>
  <c r="K81" i="19"/>
  <c r="K80" i="19" s="1"/>
  <c r="K78" i="19"/>
  <c r="K77" i="19" s="1"/>
  <c r="K75" i="19"/>
  <c r="K73" i="19"/>
  <c r="K69" i="19"/>
  <c r="K68" i="19" s="1"/>
  <c r="K64" i="19"/>
  <c r="K63" i="19" s="1"/>
  <c r="K62" i="19" s="1"/>
  <c r="K61" i="19" s="1"/>
  <c r="K58" i="19"/>
  <c r="K57" i="19" s="1"/>
  <c r="K56" i="19" s="1"/>
  <c r="K55" i="19" s="1"/>
  <c r="K54" i="19"/>
  <c r="K53" i="19" s="1"/>
  <c r="K52" i="19" s="1"/>
  <c r="K51" i="19" s="1"/>
  <c r="K50" i="19" s="1"/>
  <c r="K49" i="19" s="1"/>
  <c r="K47" i="19"/>
  <c r="K46" i="19" s="1"/>
  <c r="K43" i="19"/>
  <c r="K41" i="19"/>
  <c r="K38" i="19"/>
  <c r="K36" i="19"/>
  <c r="K34" i="19"/>
  <c r="K32" i="19"/>
  <c r="K31" i="19"/>
  <c r="K24" i="19"/>
  <c r="K23" i="19" s="1"/>
  <c r="K22" i="19" s="1"/>
  <c r="K21" i="19" s="1"/>
  <c r="K20" i="19" s="1"/>
  <c r="K758" i="3"/>
  <c r="K755" i="3"/>
  <c r="K752" i="3"/>
  <c r="K745" i="3"/>
  <c r="K742" i="3"/>
  <c r="K739" i="3"/>
  <c r="K736" i="3"/>
  <c r="K726" i="3"/>
  <c r="K725" i="3" s="1"/>
  <c r="K724" i="3" s="1"/>
  <c r="K723" i="3" s="1"/>
  <c r="K722" i="3" s="1"/>
  <c r="K721" i="3" s="1"/>
  <c r="K719" i="3"/>
  <c r="K715" i="3"/>
  <c r="K708" i="3"/>
  <c r="K707" i="3" s="1"/>
  <c r="K705" i="3"/>
  <c r="K704" i="3" s="1"/>
  <c r="K702" i="3"/>
  <c r="K701" i="3" s="1"/>
  <c r="K692" i="3"/>
  <c r="K691" i="3" s="1"/>
  <c r="K690" i="3" s="1"/>
  <c r="K689" i="3" s="1"/>
  <c r="K688" i="3" s="1"/>
  <c r="K687" i="3" s="1"/>
  <c r="K686" i="3"/>
  <c r="K685" i="3" s="1"/>
  <c r="K684" i="3" s="1"/>
  <c r="K683" i="3" s="1"/>
  <c r="K682" i="3" s="1"/>
  <c r="K681" i="3" s="1"/>
  <c r="K680" i="3"/>
  <c r="K679" i="3" s="1"/>
  <c r="K678" i="3" s="1"/>
  <c r="K677" i="3" s="1"/>
  <c r="K676" i="3"/>
  <c r="K675" i="3" s="1"/>
  <c r="K671" i="3"/>
  <c r="K666" i="3"/>
  <c r="K664" i="3"/>
  <c r="K663" i="3"/>
  <c r="K662" i="3" s="1"/>
  <c r="K660" i="3"/>
  <c r="K657" i="3"/>
  <c r="K656" i="3" s="1"/>
  <c r="K652" i="3"/>
  <c r="K651" i="3" s="1"/>
  <c r="K650" i="3" s="1"/>
  <c r="K645" i="3"/>
  <c r="K644" i="3" s="1"/>
  <c r="K643" i="3" s="1"/>
  <c r="K642" i="3" s="1"/>
  <c r="K641" i="3" s="1"/>
  <c r="K640" i="3" s="1"/>
  <c r="K636" i="3"/>
  <c r="K633" i="3"/>
  <c r="K632" i="3" s="1"/>
  <c r="K629" i="3"/>
  <c r="K628" i="3" s="1"/>
  <c r="K624" i="3"/>
  <c r="K623" i="3" s="1"/>
  <c r="K622" i="3" s="1"/>
  <c r="K618" i="3"/>
  <c r="K615" i="3"/>
  <c r="K611" i="3"/>
  <c r="K609" i="3"/>
  <c r="K606" i="3"/>
  <c r="K605" i="3" s="1"/>
  <c r="K600" i="3"/>
  <c r="K598" i="3"/>
  <c r="K597" i="3"/>
  <c r="K596" i="3" s="1"/>
  <c r="K589" i="3"/>
  <c r="K588" i="3" s="1"/>
  <c r="K587" i="3" s="1"/>
  <c r="K586" i="3" s="1"/>
  <c r="K585" i="3" s="1"/>
  <c r="K583" i="3"/>
  <c r="K582" i="3" s="1"/>
  <c r="K581" i="3" s="1"/>
  <c r="K580" i="3" s="1"/>
  <c r="K579" i="3" s="1"/>
  <c r="K577" i="3"/>
  <c r="K575" i="3"/>
  <c r="K574" i="3"/>
  <c r="K573" i="3" s="1"/>
  <c r="K566" i="3"/>
  <c r="K565" i="3" s="1"/>
  <c r="K561" i="3" s="1"/>
  <c r="K553" i="3"/>
  <c r="K552" i="3" s="1"/>
  <c r="K551" i="3" s="1"/>
  <c r="K550" i="3" s="1"/>
  <c r="K549" i="3" s="1"/>
  <c r="K548" i="3" s="1"/>
  <c r="K546" i="3"/>
  <c r="K544" i="3"/>
  <c r="K542" i="3"/>
  <c r="K540" i="3"/>
  <c r="K539" i="3"/>
  <c r="K538" i="3"/>
  <c r="K535" i="3"/>
  <c r="K534" i="3"/>
  <c r="K529" i="3"/>
  <c r="K528" i="3" s="1"/>
  <c r="K527" i="3" s="1"/>
  <c r="K524" i="3"/>
  <c r="K523" i="3" s="1"/>
  <c r="K521" i="3"/>
  <c r="K513" i="3"/>
  <c r="K511" i="3"/>
  <c r="K509" i="3"/>
  <c r="K508" i="3" s="1"/>
  <c r="K506" i="3"/>
  <c r="K503" i="3"/>
  <c r="K501" i="3"/>
  <c r="K500" i="3"/>
  <c r="K499" i="3"/>
  <c r="K491" i="3"/>
  <c r="K490" i="3" s="1"/>
  <c r="K489" i="3" s="1"/>
  <c r="K488" i="3" s="1"/>
  <c r="K487" i="3"/>
  <c r="K486" i="3" s="1"/>
  <c r="K485" i="3" s="1"/>
  <c r="K484" i="3" s="1"/>
  <c r="K480" i="3"/>
  <c r="K479" i="3"/>
  <c r="K478" i="3"/>
  <c r="K474" i="3"/>
  <c r="K468" i="3"/>
  <c r="K464" i="3"/>
  <c r="K463" i="3"/>
  <c r="K460" i="3" s="1"/>
  <c r="K457" i="3"/>
  <c r="K455" i="3"/>
  <c r="K454" i="3"/>
  <c r="K453" i="3"/>
  <c r="K452" i="3"/>
  <c r="K450" i="3"/>
  <c r="K448" i="3" s="1"/>
  <c r="K447" i="3"/>
  <c r="K446" i="3"/>
  <c r="K443" i="3"/>
  <c r="K442" i="3"/>
  <c r="K441" i="3"/>
  <c r="K434" i="3"/>
  <c r="K433" i="3" s="1"/>
  <c r="K432" i="3" s="1"/>
  <c r="K431" i="3" s="1"/>
  <c r="K429" i="3"/>
  <c r="K428" i="3" s="1"/>
  <c r="K427" i="3" s="1"/>
  <c r="K426" i="3" s="1"/>
  <c r="K424" i="3"/>
  <c r="K422" i="3"/>
  <c r="K420" i="3"/>
  <c r="K418" i="3"/>
  <c r="K417" i="3"/>
  <c r="K416" i="3" s="1"/>
  <c r="K415" i="3"/>
  <c r="K414" i="3" s="1"/>
  <c r="K407" i="3"/>
  <c r="K406" i="3" s="1"/>
  <c r="K404" i="3"/>
  <c r="K403" i="3" s="1"/>
  <c r="K401" i="3"/>
  <c r="K400" i="3" s="1"/>
  <c r="K392" i="3"/>
  <c r="K391" i="3"/>
  <c r="K390" i="3" s="1"/>
  <c r="K383" i="3"/>
  <c r="K382" i="3" s="1"/>
  <c r="K381" i="3" s="1"/>
  <c r="K380" i="3" s="1"/>
  <c r="K379" i="3" s="1"/>
  <c r="K378" i="3"/>
  <c r="K377" i="3" s="1"/>
  <c r="K376" i="3" s="1"/>
  <c r="K375" i="3" s="1"/>
  <c r="K374" i="3" s="1"/>
  <c r="K373" i="3" s="1"/>
  <c r="K372" i="3"/>
  <c r="K371" i="3" s="1"/>
  <c r="K370" i="3"/>
  <c r="K369" i="3" s="1"/>
  <c r="K362" i="3"/>
  <c r="K361" i="3"/>
  <c r="K360" i="3" s="1"/>
  <c r="K353" i="3"/>
  <c r="K352" i="3" s="1"/>
  <c r="K351" i="3" s="1"/>
  <c r="K350" i="3" s="1"/>
  <c r="K349" i="3" s="1"/>
  <c r="K348" i="3" s="1"/>
  <c r="K346" i="3"/>
  <c r="K345" i="3" s="1"/>
  <c r="K344" i="3" s="1"/>
  <c r="K343" i="3" s="1"/>
  <c r="K342" i="3" s="1"/>
  <c r="K340" i="3"/>
  <c r="K339" i="3" s="1"/>
  <c r="K338" i="3"/>
  <c r="K337" i="3" s="1"/>
  <c r="K336" i="3" s="1"/>
  <c r="K333" i="3"/>
  <c r="K332" i="3" s="1"/>
  <c r="K331" i="3"/>
  <c r="K330" i="3" s="1"/>
  <c r="K329" i="3" s="1"/>
  <c r="K327" i="3"/>
  <c r="K324" i="3"/>
  <c r="K323" i="3" s="1"/>
  <c r="K321" i="3"/>
  <c r="K320" i="3"/>
  <c r="K316" i="3"/>
  <c r="K315" i="3" s="1"/>
  <c r="K314" i="3" s="1"/>
  <c r="K312" i="3"/>
  <c r="K311" i="3" s="1"/>
  <c r="K303" i="3"/>
  <c r="K300" i="3"/>
  <c r="K299" i="3" s="1"/>
  <c r="K285" i="3"/>
  <c r="K284" i="3" s="1"/>
  <c r="K283" i="3" s="1"/>
  <c r="K282" i="3" s="1"/>
  <c r="K281" i="3" s="1"/>
  <c r="K280" i="3" s="1"/>
  <c r="K278" i="3"/>
  <c r="K277" i="3" s="1"/>
  <c r="K276" i="3" s="1"/>
  <c r="K275" i="3" s="1"/>
  <c r="K274" i="3" s="1"/>
  <c r="K273" i="3" s="1"/>
  <c r="K271" i="3"/>
  <c r="K270" i="3" s="1"/>
  <c r="K268" i="3"/>
  <c r="K267" i="3" s="1"/>
  <c r="K262" i="3"/>
  <c r="K261" i="3" s="1"/>
  <c r="K259" i="3"/>
  <c r="K258" i="3"/>
  <c r="K217" i="3"/>
  <c r="K216" i="3" s="1"/>
  <c r="K215" i="3" s="1"/>
  <c r="K214" i="3" s="1"/>
  <c r="K213" i="3" s="1"/>
  <c r="K212" i="3" s="1"/>
  <c r="K210" i="3"/>
  <c r="K209" i="3" s="1"/>
  <c r="K208" i="3" s="1"/>
  <c r="K207" i="3" s="1"/>
  <c r="K206" i="3" s="1"/>
  <c r="K205" i="3"/>
  <c r="K204" i="3" s="1"/>
  <c r="K203" i="3" s="1"/>
  <c r="K202" i="3" s="1"/>
  <c r="K201" i="3" s="1"/>
  <c r="K200" i="3" s="1"/>
  <c r="K197" i="3"/>
  <c r="K196" i="3" s="1"/>
  <c r="K195" i="3" s="1"/>
  <c r="K194" i="3" s="1"/>
  <c r="K193" i="3" s="1"/>
  <c r="K192" i="3" s="1"/>
  <c r="K190" i="3"/>
  <c r="K189" i="3" s="1"/>
  <c r="K188" i="3" s="1"/>
  <c r="K186" i="3"/>
  <c r="K185" i="3" s="1"/>
  <c r="K184" i="3" s="1"/>
  <c r="K181" i="3"/>
  <c r="K180" i="3" s="1"/>
  <c r="K178" i="3"/>
  <c r="K176" i="3"/>
  <c r="K170" i="3"/>
  <c r="K169" i="3" s="1"/>
  <c r="K167" i="3"/>
  <c r="K165" i="3"/>
  <c r="K164" i="3" s="1"/>
  <c r="K159" i="3"/>
  <c r="K158" i="3"/>
  <c r="K157" i="3" s="1"/>
  <c r="K152" i="3"/>
  <c r="K151" i="3" s="1"/>
  <c r="K150" i="3" s="1"/>
  <c r="K148" i="3"/>
  <c r="K147" i="3" s="1"/>
  <c r="K146" i="3" s="1"/>
  <c r="K142" i="3"/>
  <c r="K141" i="3" s="1"/>
  <c r="K140" i="3" s="1"/>
  <c r="K139" i="3" s="1"/>
  <c r="K138" i="3" s="1"/>
  <c r="K136" i="3"/>
  <c r="K135" i="3" s="1"/>
  <c r="K134" i="3"/>
  <c r="K133" i="3" s="1"/>
  <c r="K132" i="3" s="1"/>
  <c r="K126" i="3"/>
  <c r="K125" i="3" s="1"/>
  <c r="K124" i="3" s="1"/>
  <c r="K118" i="3"/>
  <c r="K117" i="3" s="1"/>
  <c r="K116" i="3" s="1"/>
  <c r="K115" i="3" s="1"/>
  <c r="K113" i="3"/>
  <c r="K112" i="3" s="1"/>
  <c r="K110" i="3"/>
  <c r="K109" i="3"/>
  <c r="K108" i="3" s="1"/>
  <c r="K102" i="3"/>
  <c r="K100" i="3"/>
  <c r="K98" i="3"/>
  <c r="K96" i="3"/>
  <c r="K89" i="3"/>
  <c r="K88" i="3" s="1"/>
  <c r="K86" i="3"/>
  <c r="K85" i="3" s="1"/>
  <c r="K83" i="3"/>
  <c r="K81" i="3"/>
  <c r="K78" i="3"/>
  <c r="K77" i="3" s="1"/>
  <c r="K76" i="3" s="1"/>
  <c r="K74" i="3"/>
  <c r="K73" i="3" s="1"/>
  <c r="K69" i="3"/>
  <c r="K68" i="3" s="1"/>
  <c r="K67" i="3" s="1"/>
  <c r="K66" i="3" s="1"/>
  <c r="K64" i="3"/>
  <c r="K63" i="3" s="1"/>
  <c r="K62" i="3" s="1"/>
  <c r="K61" i="3" s="1"/>
  <c r="K59" i="3"/>
  <c r="K58" i="3" s="1"/>
  <c r="K57" i="3" s="1"/>
  <c r="K56" i="3" s="1"/>
  <c r="K55" i="3" s="1"/>
  <c r="K54" i="3"/>
  <c r="K53" i="3" s="1"/>
  <c r="K52" i="3" s="1"/>
  <c r="K51" i="3" s="1"/>
  <c r="K50" i="3" s="1"/>
  <c r="K49" i="3" s="1"/>
  <c r="K48" i="3"/>
  <c r="K47" i="3" s="1"/>
  <c r="K46" i="3" s="1"/>
  <c r="K43" i="3"/>
  <c r="K41" i="3"/>
  <c r="K38" i="3"/>
  <c r="K36" i="3"/>
  <c r="K34" i="3"/>
  <c r="K32" i="3"/>
  <c r="K30" i="3"/>
  <c r="K29" i="3"/>
  <c r="K23" i="3"/>
  <c r="K22" i="3" s="1"/>
  <c r="K21" i="3" s="1"/>
  <c r="K20" i="3" s="1"/>
  <c r="K19" i="3" s="1"/>
  <c r="K18" i="3" s="1"/>
  <c r="K533" i="3" l="1"/>
  <c r="K531" i="19"/>
  <c r="K517" i="19" s="1"/>
  <c r="K72" i="19"/>
  <c r="K570" i="19"/>
  <c r="K569" i="19" s="1"/>
  <c r="K568" i="19" s="1"/>
  <c r="K567" i="19" s="1"/>
  <c r="K80" i="3"/>
  <c r="K30" i="19"/>
  <c r="K29" i="19" s="1"/>
  <c r="K28" i="19" s="1"/>
  <c r="K27" i="19" s="1"/>
  <c r="K26" i="19" s="1"/>
  <c r="K87" i="19"/>
  <c r="K86" i="19" s="1"/>
  <c r="K85" i="19" s="1"/>
  <c r="K84" i="19" s="1"/>
  <c r="K521" i="19"/>
  <c r="K520" i="19" s="1"/>
  <c r="K519" i="19" s="1"/>
  <c r="K518" i="19" s="1"/>
  <c r="K158" i="19"/>
  <c r="K714" i="3"/>
  <c r="K713" i="3" s="1"/>
  <c r="K712" i="3" s="1"/>
  <c r="K711" i="3" s="1"/>
  <c r="K445" i="3"/>
  <c r="K139" i="19"/>
  <c r="K138" i="19" s="1"/>
  <c r="K137" i="19" s="1"/>
  <c r="K258" i="19"/>
  <c r="K257" i="19" s="1"/>
  <c r="K256" i="19" s="1"/>
  <c r="K255" i="19" s="1"/>
  <c r="K254" i="19" s="1"/>
  <c r="K450" i="19"/>
  <c r="K449" i="19" s="1"/>
  <c r="K311" i="19"/>
  <c r="K310" i="19" s="1"/>
  <c r="K67" i="19"/>
  <c r="K66" i="19" s="1"/>
  <c r="K60" i="19" s="1"/>
  <c r="K438" i="19"/>
  <c r="K385" i="19"/>
  <c r="K384" i="19" s="1"/>
  <c r="K383" i="19" s="1"/>
  <c r="K382" i="19" s="1"/>
  <c r="K289" i="19"/>
  <c r="K288" i="19" s="1"/>
  <c r="K287" i="19" s="1"/>
  <c r="K286" i="19" s="1"/>
  <c r="K485" i="19"/>
  <c r="K484" i="19" s="1"/>
  <c r="K479" i="19" s="1"/>
  <c r="K478" i="19" s="1"/>
  <c r="K554" i="19"/>
  <c r="K553" i="19" s="1"/>
  <c r="K552" i="19" s="1"/>
  <c r="K551" i="19" s="1"/>
  <c r="K550" i="19" s="1"/>
  <c r="K549" i="19" s="1"/>
  <c r="K94" i="19"/>
  <c r="K218" i="19"/>
  <c r="K217" i="19" s="1"/>
  <c r="K212" i="19" s="1"/>
  <c r="K211" i="19" s="1"/>
  <c r="K210" i="19" s="1"/>
  <c r="K356" i="19"/>
  <c r="K355" i="19" s="1"/>
  <c r="K354" i="19" s="1"/>
  <c r="K353" i="19" s="1"/>
  <c r="K459" i="19"/>
  <c r="K458" i="19" s="1"/>
  <c r="K457" i="19" s="1"/>
  <c r="K456" i="19" s="1"/>
  <c r="K500" i="19"/>
  <c r="K499" i="19" s="1"/>
  <c r="K498" i="19" s="1"/>
  <c r="K389" i="3"/>
  <c r="K388" i="3" s="1"/>
  <c r="K387" i="3" s="1"/>
  <c r="K386" i="3" s="1"/>
  <c r="K385" i="3" s="1"/>
  <c r="K595" i="3"/>
  <c r="K275" i="19"/>
  <c r="K274" i="19" s="1"/>
  <c r="K273" i="19" s="1"/>
  <c r="K272" i="19" s="1"/>
  <c r="K114" i="19"/>
  <c r="K113" i="19" s="1"/>
  <c r="K112" i="19" s="1"/>
  <c r="K418" i="19"/>
  <c r="K417" i="19" s="1"/>
  <c r="K416" i="19" s="1"/>
  <c r="K415" i="19" s="1"/>
  <c r="K414" i="19" s="1"/>
  <c r="K184" i="19"/>
  <c r="K183" i="19" s="1"/>
  <c r="K182" i="19" s="1"/>
  <c r="K173" i="19" s="1"/>
  <c r="K172" i="19" s="1"/>
  <c r="K175" i="3"/>
  <c r="K174" i="3" s="1"/>
  <c r="K670" i="3"/>
  <c r="K107" i="3"/>
  <c r="K106" i="3" s="1"/>
  <c r="K105" i="3" s="1"/>
  <c r="K104" i="3" s="1"/>
  <c r="K28" i="3"/>
  <c r="K27" i="3" s="1"/>
  <c r="K26" i="3" s="1"/>
  <c r="K25" i="3" s="1"/>
  <c r="K24" i="3" s="1"/>
  <c r="K451" i="3"/>
  <c r="K614" i="3"/>
  <c r="K613" i="3" s="1"/>
  <c r="K257" i="3"/>
  <c r="K256" i="3" s="1"/>
  <c r="K255" i="3" s="1"/>
  <c r="K254" i="3" s="1"/>
  <c r="K253" i="3" s="1"/>
  <c r="K572" i="3"/>
  <c r="K571" i="3" s="1"/>
  <c r="K570" i="3" s="1"/>
  <c r="K569" i="3" s="1"/>
  <c r="K568" i="3" s="1"/>
  <c r="K498" i="3"/>
  <c r="K497" i="3" s="1"/>
  <c r="K496" i="3" s="1"/>
  <c r="K495" i="3" s="1"/>
  <c r="K494" i="3" s="1"/>
  <c r="K319" i="3"/>
  <c r="K318" i="3" s="1"/>
  <c r="K317" i="3" s="1"/>
  <c r="K440" i="3"/>
  <c r="K95" i="3"/>
  <c r="K94" i="3" s="1"/>
  <c r="K93" i="3" s="1"/>
  <c r="K92" i="3" s="1"/>
  <c r="K298" i="3"/>
  <c r="K297" i="3" s="1"/>
  <c r="K296" i="3" s="1"/>
  <c r="K295" i="3" s="1"/>
  <c r="K294" i="3" s="1"/>
  <c r="K735" i="3"/>
  <c r="K734" i="3" s="1"/>
  <c r="K733" i="3" s="1"/>
  <c r="K732" i="3" s="1"/>
  <c r="K751" i="3"/>
  <c r="K750" i="3" s="1"/>
  <c r="K749" i="3" s="1"/>
  <c r="K748" i="3" s="1"/>
  <c r="K477" i="3"/>
  <c r="K537" i="3"/>
  <c r="K532" i="3" s="1"/>
  <c r="K531" i="3" s="1"/>
  <c r="K526" i="3" s="1"/>
  <c r="K525" i="3" s="1"/>
  <c r="K710" i="3"/>
  <c r="K156" i="3"/>
  <c r="K155" i="3" s="1"/>
  <c r="K154" i="3" s="1"/>
  <c r="K266" i="3"/>
  <c r="K265" i="3" s="1"/>
  <c r="K264" i="3" s="1"/>
  <c r="K145" i="3"/>
  <c r="K199" i="3"/>
  <c r="K335" i="3"/>
  <c r="K359" i="3"/>
  <c r="K358" i="3" s="1"/>
  <c r="K357" i="3" s="1"/>
  <c r="K356" i="3" s="1"/>
  <c r="K355" i="3" s="1"/>
  <c r="K72" i="3"/>
  <c r="K71" i="3" s="1"/>
  <c r="K60" i="3" s="1"/>
  <c r="K604" i="3"/>
  <c r="K131" i="3"/>
  <c r="K130" i="3" s="1"/>
  <c r="K129" i="3" s="1"/>
  <c r="K310" i="3"/>
  <c r="K655" i="3"/>
  <c r="K93" i="19"/>
  <c r="K92" i="19" s="1"/>
  <c r="K128" i="19"/>
  <c r="K146" i="19"/>
  <c r="K145" i="19" s="1"/>
  <c r="K144" i="19" s="1"/>
  <c r="K241" i="19"/>
  <c r="K309" i="19"/>
  <c r="K308" i="19" s="1"/>
  <c r="K163" i="3"/>
  <c r="K162" i="3" s="1"/>
  <c r="K161" i="3" s="1"/>
  <c r="K183" i="3"/>
  <c r="K182" i="3" s="1"/>
  <c r="K368" i="3"/>
  <c r="K367" i="3" s="1"/>
  <c r="K366" i="3" s="1"/>
  <c r="K365" i="3" s="1"/>
  <c r="K364" i="3" s="1"/>
  <c r="K399" i="3"/>
  <c r="K398" i="3" s="1"/>
  <c r="K397" i="3" s="1"/>
  <c r="K396" i="3" s="1"/>
  <c r="K413" i="3"/>
  <c r="K412" i="3" s="1"/>
  <c r="K411" i="3" s="1"/>
  <c r="K410" i="3" s="1"/>
  <c r="K520" i="3"/>
  <c r="K519" i="3" s="1"/>
  <c r="K518" i="3" s="1"/>
  <c r="K517" i="3" s="1"/>
  <c r="K627" i="3"/>
  <c r="K626" i="3" s="1"/>
  <c r="K621" i="3" s="1"/>
  <c r="K620" i="3" s="1"/>
  <c r="K559" i="3"/>
  <c r="K558" i="3" s="1"/>
  <c r="K560" i="3"/>
  <c r="K700" i="3"/>
  <c r="K699" i="3" s="1"/>
  <c r="K698" i="3" s="1"/>
  <c r="K697" i="3" s="1"/>
  <c r="M225" i="19"/>
  <c r="M581" i="19"/>
  <c r="K83" i="19" l="1"/>
  <c r="K477" i="19"/>
  <c r="K469" i="19" s="1"/>
  <c r="K19" i="19"/>
  <c r="K594" i="3"/>
  <c r="K593" i="3" s="1"/>
  <c r="K592" i="3" s="1"/>
  <c r="K591" i="3" s="1"/>
  <c r="K557" i="3" s="1"/>
  <c r="K437" i="19"/>
  <c r="K436" i="19" s="1"/>
  <c r="K435" i="19" s="1"/>
  <c r="K406" i="19" s="1"/>
  <c r="K173" i="3"/>
  <c r="K172" i="3" s="1"/>
  <c r="K171" i="3" s="1"/>
  <c r="K17" i="3"/>
  <c r="K91" i="3"/>
  <c r="K439" i="3"/>
  <c r="K438" i="3" s="1"/>
  <c r="K437" i="3" s="1"/>
  <c r="K436" i="3" s="1"/>
  <c r="K409" i="3" s="1"/>
  <c r="K395" i="3" s="1"/>
  <c r="K654" i="3"/>
  <c r="K649" i="3" s="1"/>
  <c r="K648" i="3" s="1"/>
  <c r="K647" i="3" s="1"/>
  <c r="K639" i="3" s="1"/>
  <c r="K252" i="3"/>
  <c r="K251" i="3" s="1"/>
  <c r="K696" i="3"/>
  <c r="K731" i="3"/>
  <c r="K730" i="3" s="1"/>
  <c r="K144" i="3"/>
  <c r="K128" i="3" s="1"/>
  <c r="K309" i="3"/>
  <c r="K308" i="3" s="1"/>
  <c r="K307" i="3" s="1"/>
  <c r="K306" i="3" s="1"/>
  <c r="K209" i="19"/>
  <c r="K127" i="19"/>
  <c r="K111" i="19" s="1"/>
  <c r="K285" i="19"/>
  <c r="K271" i="19" s="1"/>
  <c r="H66" i="18"/>
  <c r="M269" i="19"/>
  <c r="M253" i="19"/>
  <c r="M247" i="19"/>
  <c r="K18" i="19" l="1"/>
  <c r="K16" i="19" s="1"/>
  <c r="K16" i="3"/>
  <c r="K15" i="3" s="1"/>
  <c r="M318" i="19"/>
  <c r="M393" i="19"/>
  <c r="M391" i="19"/>
  <c r="M387" i="19"/>
  <c r="H166" i="7"/>
  <c r="H165" i="7" s="1"/>
  <c r="L610" i="3"/>
  <c r="L609" i="3" s="1"/>
  <c r="M609" i="3"/>
  <c r="H414" i="7"/>
  <c r="H413" i="7" s="1"/>
  <c r="H412" i="7" s="1"/>
  <c r="L59" i="3"/>
  <c r="M64" i="3"/>
  <c r="M63" i="3" s="1"/>
  <c r="M62" i="3" s="1"/>
  <c r="M61" i="3" s="1"/>
  <c r="L65" i="3"/>
  <c r="L64" i="3" s="1"/>
  <c r="L63" i="3" s="1"/>
  <c r="L62" i="3" s="1"/>
  <c r="L61" i="3" s="1"/>
  <c r="M370" i="3" l="1"/>
  <c r="M361" i="3"/>
  <c r="H400" i="7" s="1"/>
  <c r="M378" i="3"/>
  <c r="M452" i="3" l="1"/>
  <c r="M454" i="3"/>
  <c r="M663" i="3" l="1"/>
  <c r="M539" i="3" l="1"/>
  <c r="M535" i="3"/>
  <c r="M78" i="3"/>
  <c r="M165" i="3"/>
  <c r="M29" i="3"/>
  <c r="M30" i="3"/>
  <c r="M680" i="3" l="1"/>
  <c r="H239" i="7" s="1"/>
  <c r="M675" i="3" l="1"/>
  <c r="H513" i="7" l="1"/>
  <c r="H512" i="7" s="1"/>
  <c r="M167" i="3"/>
  <c r="L168" i="3"/>
  <c r="L167" i="3" s="1"/>
  <c r="M671" i="3" l="1"/>
  <c r="M670" i="3" s="1"/>
  <c r="M205" i="3" l="1"/>
  <c r="H235" i="7"/>
  <c r="H234" i="7" s="1"/>
  <c r="H233" i="7"/>
  <c r="H232" i="7"/>
  <c r="H231" i="7"/>
  <c r="L676" i="3"/>
  <c r="L675" i="3" s="1"/>
  <c r="L674" i="3"/>
  <c r="L673" i="3"/>
  <c r="L672" i="3"/>
  <c r="H230" i="7" l="1"/>
  <c r="H229" i="7" s="1"/>
  <c r="L671" i="3"/>
  <c r="L670" i="3" s="1"/>
  <c r="M501" i="3"/>
  <c r="M338" i="3" l="1"/>
  <c r="M337" i="3" s="1"/>
  <c r="H362" i="7" l="1"/>
  <c r="H361" i="7" s="1"/>
  <c r="H360" i="7" s="1"/>
  <c r="M340" i="3"/>
  <c r="M339" i="3" s="1"/>
  <c r="L341" i="3"/>
  <c r="L340" i="3" s="1"/>
  <c r="L339" i="3" s="1"/>
  <c r="M453" i="3" l="1"/>
  <c r="M633" i="3" l="1"/>
  <c r="M679" i="3" l="1"/>
  <c r="M678" i="3" s="1"/>
  <c r="M677" i="3" s="1"/>
  <c r="L680" i="3"/>
  <c r="L679" i="3" s="1"/>
  <c r="L678" i="3" s="1"/>
  <c r="L677" i="3" s="1"/>
  <c r="C14" i="5" l="1"/>
  <c r="H399" i="7" l="1"/>
  <c r="L361" i="3"/>
  <c r="L360" i="3" s="1"/>
  <c r="M360" i="3"/>
  <c r="M118" i="3"/>
  <c r="H473" i="7"/>
  <c r="M32" i="3"/>
  <c r="L33" i="3"/>
  <c r="L32" i="3" s="1"/>
  <c r="L581" i="19"/>
  <c r="L580" i="19" s="1"/>
  <c r="L579" i="19"/>
  <c r="L578" i="19"/>
  <c r="L576" i="19"/>
  <c r="L575" i="19"/>
  <c r="L573" i="19"/>
  <c r="L572" i="19"/>
  <c r="L566" i="19"/>
  <c r="L565" i="19"/>
  <c r="L563" i="19"/>
  <c r="L562" i="19"/>
  <c r="L560" i="19"/>
  <c r="L559" i="19"/>
  <c r="L557" i="19"/>
  <c r="L556" i="19"/>
  <c r="L547" i="19"/>
  <c r="L546" i="19"/>
  <c r="L545" i="19"/>
  <c r="L539" i="19"/>
  <c r="L538" i="19"/>
  <c r="L537" i="19"/>
  <c r="L530" i="19"/>
  <c r="L529" i="19" s="1"/>
  <c r="L528" i="19" s="1"/>
  <c r="L527" i="19"/>
  <c r="L526" i="19" s="1"/>
  <c r="L525" i="19" s="1"/>
  <c r="L524" i="19"/>
  <c r="L523" i="19" s="1"/>
  <c r="L522" i="19" s="1"/>
  <c r="L515" i="19"/>
  <c r="L513" i="19"/>
  <c r="L507" i="19"/>
  <c r="L506" i="19" s="1"/>
  <c r="L505" i="19" s="1"/>
  <c r="L504" i="19"/>
  <c r="L503" i="19"/>
  <c r="L495" i="19"/>
  <c r="L494" i="19" s="1"/>
  <c r="L493" i="19"/>
  <c r="L492" i="19" s="1"/>
  <c r="L491" i="19"/>
  <c r="L490" i="19" s="1"/>
  <c r="L488" i="19"/>
  <c r="L487" i="19"/>
  <c r="L483" i="19"/>
  <c r="L482" i="19" s="1"/>
  <c r="L481" i="19" s="1"/>
  <c r="L480" i="19" s="1"/>
  <c r="L476" i="19"/>
  <c r="L475" i="19" s="1"/>
  <c r="L474" i="19" s="1"/>
  <c r="L473" i="19" s="1"/>
  <c r="L472" i="19" s="1"/>
  <c r="L471" i="19" s="1"/>
  <c r="L470" i="19" s="1"/>
  <c r="L467" i="19"/>
  <c r="L466" i="19"/>
  <c r="L465" i="19"/>
  <c r="L463" i="19"/>
  <c r="L462" i="19"/>
  <c r="L461" i="19"/>
  <c r="L455" i="19"/>
  <c r="L454" i="19" s="1"/>
  <c r="L453" i="19"/>
  <c r="L452" i="19"/>
  <c r="L445" i="19"/>
  <c r="L444" i="19"/>
  <c r="L441" i="19"/>
  <c r="L440" i="19" s="1"/>
  <c r="L439" i="19" s="1"/>
  <c r="L434" i="19"/>
  <c r="L433" i="19" s="1"/>
  <c r="L432" i="19" s="1"/>
  <c r="L431" i="19" s="1"/>
  <c r="L430" i="19" s="1"/>
  <c r="L429" i="19" s="1"/>
  <c r="L428" i="19"/>
  <c r="L427" i="19" s="1"/>
  <c r="L426" i="19" s="1"/>
  <c r="L425" i="19" s="1"/>
  <c r="L424" i="19" s="1"/>
  <c r="L423" i="19" s="1"/>
  <c r="L422" i="19"/>
  <c r="L421" i="19" s="1"/>
  <c r="L420" i="19"/>
  <c r="L419" i="19" s="1"/>
  <c r="L413" i="19"/>
  <c r="L412" i="19" s="1"/>
  <c r="L411" i="19" s="1"/>
  <c r="L410" i="19" s="1"/>
  <c r="L409" i="19" s="1"/>
  <c r="L408" i="19" s="1"/>
  <c r="L407" i="19" s="1"/>
  <c r="L404" i="19"/>
  <c r="L403" i="19"/>
  <c r="L396" i="19"/>
  <c r="L395" i="19" s="1"/>
  <c r="L394" i="19"/>
  <c r="L393" i="19"/>
  <c r="L392" i="19"/>
  <c r="L391" i="19"/>
  <c r="L389" i="19"/>
  <c r="L388" i="19"/>
  <c r="L387" i="19"/>
  <c r="L381" i="19"/>
  <c r="L380" i="19" s="1"/>
  <c r="L373" i="19"/>
  <c r="L372" i="19" s="1"/>
  <c r="L371" i="19" s="1"/>
  <c r="L370" i="19" s="1"/>
  <c r="L369" i="19" s="1"/>
  <c r="L368" i="19"/>
  <c r="L367" i="19" s="1"/>
  <c r="L366" i="19"/>
  <c r="L365" i="19" s="1"/>
  <c r="L361" i="19"/>
  <c r="L360" i="19"/>
  <c r="L359" i="19"/>
  <c r="L358" i="19"/>
  <c r="L352" i="19"/>
  <c r="L351" i="19" s="1"/>
  <c r="L350" i="19" s="1"/>
  <c r="L349" i="19" s="1"/>
  <c r="L348" i="19"/>
  <c r="L347" i="19"/>
  <c r="L346" i="19"/>
  <c r="L344" i="19"/>
  <c r="L343" i="19" s="1"/>
  <c r="L342" i="19"/>
  <c r="L341" i="19"/>
  <c r="L339" i="19"/>
  <c r="L338" i="19"/>
  <c r="L336" i="19"/>
  <c r="L335" i="19"/>
  <c r="L333" i="19"/>
  <c r="L332" i="19"/>
  <c r="L331" i="19"/>
  <c r="L329" i="19"/>
  <c r="L328" i="19"/>
  <c r="L327" i="19"/>
  <c r="L325" i="19"/>
  <c r="L324" i="19"/>
  <c r="L322" i="19"/>
  <c r="L321" i="19"/>
  <c r="L318" i="19"/>
  <c r="L316" i="19"/>
  <c r="L315" i="19"/>
  <c r="L314" i="19"/>
  <c r="L313" i="19"/>
  <c r="L307" i="19"/>
  <c r="L306" i="19" s="1"/>
  <c r="L305" i="19" s="1"/>
  <c r="L304" i="19" s="1"/>
  <c r="L303" i="19" s="1"/>
  <c r="L302" i="19"/>
  <c r="L301" i="19" s="1"/>
  <c r="L300" i="19" s="1"/>
  <c r="L299" i="19" s="1"/>
  <c r="L298" i="19" s="1"/>
  <c r="L297" i="19"/>
  <c r="L296" i="19" s="1"/>
  <c r="L295" i="19"/>
  <c r="L294" i="19" s="1"/>
  <c r="L291" i="19"/>
  <c r="L290" i="19" s="1"/>
  <c r="L284" i="19"/>
  <c r="L283" i="19" s="1"/>
  <c r="L282" i="19" s="1"/>
  <c r="L281" i="19"/>
  <c r="L280" i="19" s="1"/>
  <c r="L279" i="19" s="1"/>
  <c r="L278" i="19"/>
  <c r="L277" i="19" s="1"/>
  <c r="L276" i="19" s="1"/>
  <c r="L269" i="19"/>
  <c r="L268" i="19" s="1"/>
  <c r="L267" i="19" s="1"/>
  <c r="L266" i="19" s="1"/>
  <c r="L265" i="19" s="1"/>
  <c r="L264" i="19" s="1"/>
  <c r="L263" i="19" s="1"/>
  <c r="L262" i="19"/>
  <c r="L261" i="19" s="1"/>
  <c r="L253" i="19"/>
  <c r="L252" i="19" s="1"/>
  <c r="L251" i="19" s="1"/>
  <c r="L250" i="19" s="1"/>
  <c r="L249" i="19" s="1"/>
  <c r="L248" i="19" s="1"/>
  <c r="L247" i="19"/>
  <c r="L246" i="19" s="1"/>
  <c r="L245" i="19" s="1"/>
  <c r="L244" i="19" s="1"/>
  <c r="L243" i="19" s="1"/>
  <c r="L242" i="19" s="1"/>
  <c r="L240" i="19"/>
  <c r="L239" i="19"/>
  <c r="L234" i="19"/>
  <c r="L233" i="19" s="1"/>
  <c r="L232" i="19" s="1"/>
  <c r="L231" i="19"/>
  <c r="L230" i="19" s="1"/>
  <c r="L229" i="19" s="1"/>
  <c r="L228" i="19"/>
  <c r="L227" i="19" s="1"/>
  <c r="L226" i="19"/>
  <c r="L225" i="19"/>
  <c r="L222" i="19"/>
  <c r="L221" i="19"/>
  <c r="L220" i="19"/>
  <c r="L216" i="19"/>
  <c r="L215" i="19" s="1"/>
  <c r="L214" i="19" s="1"/>
  <c r="L213" i="19" s="1"/>
  <c r="L207" i="19"/>
  <c r="L206" i="19"/>
  <c r="L205" i="19"/>
  <c r="L197" i="19"/>
  <c r="L196" i="19" s="1"/>
  <c r="L195" i="19" s="1"/>
  <c r="L194" i="19" s="1"/>
  <c r="L193" i="19" s="1"/>
  <c r="L192" i="19" s="1"/>
  <c r="L191" i="19" s="1"/>
  <c r="L190" i="19"/>
  <c r="L189" i="19" s="1"/>
  <c r="L188" i="19" s="1"/>
  <c r="L187" i="19"/>
  <c r="L186" i="19" s="1"/>
  <c r="L185" i="19" s="1"/>
  <c r="L181" i="19"/>
  <c r="L180" i="19"/>
  <c r="L179" i="19"/>
  <c r="L170" i="19"/>
  <c r="L169" i="19" s="1"/>
  <c r="L168" i="19" s="1"/>
  <c r="L167" i="19" s="1"/>
  <c r="L166" i="19" s="1"/>
  <c r="L165" i="19" s="1"/>
  <c r="L164" i="19"/>
  <c r="L163" i="19" s="1"/>
  <c r="L162" i="19" s="1"/>
  <c r="L161" i="19" s="1"/>
  <c r="L160" i="19" s="1"/>
  <c r="L159" i="19" s="1"/>
  <c r="L157" i="19"/>
  <c r="L156" i="19" s="1"/>
  <c r="L155" i="19" s="1"/>
  <c r="L154" i="19" s="1"/>
  <c r="L153" i="19" s="1"/>
  <c r="L152" i="19" s="1"/>
  <c r="L148" i="19"/>
  <c r="L143" i="19"/>
  <c r="L142" i="19" s="1"/>
  <c r="L141" i="19"/>
  <c r="L140" i="19" s="1"/>
  <c r="L136" i="19"/>
  <c r="L135" i="19" s="1"/>
  <c r="L134" i="19" s="1"/>
  <c r="L133" i="19" s="1"/>
  <c r="L132" i="19"/>
  <c r="L131" i="19" s="1"/>
  <c r="L130" i="19" s="1"/>
  <c r="L129" i="19" s="1"/>
  <c r="L126" i="19"/>
  <c r="L125" i="19" s="1"/>
  <c r="L124" i="19" s="1"/>
  <c r="L123" i="19" s="1"/>
  <c r="L122" i="19" s="1"/>
  <c r="L121" i="19" s="1"/>
  <c r="L120" i="19"/>
  <c r="L119" i="19" s="1"/>
  <c r="L118" i="19" s="1"/>
  <c r="L117" i="19"/>
  <c r="L116" i="19" s="1"/>
  <c r="L115" i="19" s="1"/>
  <c r="L110" i="19"/>
  <c r="L109" i="19" s="1"/>
  <c r="L108" i="19" s="1"/>
  <c r="L107" i="19" s="1"/>
  <c r="L106" i="19"/>
  <c r="L105" i="19"/>
  <c r="L100" i="19"/>
  <c r="L99" i="19" s="1"/>
  <c r="L98" i="19" s="1"/>
  <c r="L97" i="19"/>
  <c r="L96" i="19" s="1"/>
  <c r="L95" i="19" s="1"/>
  <c r="L91" i="19"/>
  <c r="L90" i="19" s="1"/>
  <c r="L89" i="19"/>
  <c r="L88" i="19" s="1"/>
  <c r="L82" i="19"/>
  <c r="L81" i="19" s="1"/>
  <c r="L80" i="19" s="1"/>
  <c r="L79" i="19"/>
  <c r="L78" i="19" s="1"/>
  <c r="L77" i="19" s="1"/>
  <c r="L76" i="19"/>
  <c r="L75" i="19" s="1"/>
  <c r="L74" i="19"/>
  <c r="L73" i="19" s="1"/>
  <c r="L71" i="19"/>
  <c r="L70" i="19"/>
  <c r="L65" i="19"/>
  <c r="L64" i="19" s="1"/>
  <c r="L63" i="19" s="1"/>
  <c r="L62" i="19" s="1"/>
  <c r="L61" i="19" s="1"/>
  <c r="L59" i="19"/>
  <c r="L58" i="19" s="1"/>
  <c r="L57" i="19" s="1"/>
  <c r="L56" i="19" s="1"/>
  <c r="L55" i="19" s="1"/>
  <c r="L48" i="19"/>
  <c r="L47" i="19" s="1"/>
  <c r="L46" i="19" s="1"/>
  <c r="L45" i="19"/>
  <c r="L44" i="19"/>
  <c r="L42" i="19"/>
  <c r="L41" i="19" s="1"/>
  <c r="L40" i="19"/>
  <c r="L39" i="19"/>
  <c r="L37" i="19"/>
  <c r="L36" i="19" s="1"/>
  <c r="L35" i="19"/>
  <c r="L34" i="19" s="1"/>
  <c r="L33" i="19"/>
  <c r="L25" i="19"/>
  <c r="L24" i="19" s="1"/>
  <c r="L23" i="19" s="1"/>
  <c r="L22" i="19" s="1"/>
  <c r="L21" i="19" s="1"/>
  <c r="L20" i="19" s="1"/>
  <c r="L760" i="3"/>
  <c r="L759" i="3"/>
  <c r="L757" i="3"/>
  <c r="L756" i="3"/>
  <c r="L754" i="3"/>
  <c r="L753" i="3"/>
  <c r="L747" i="3"/>
  <c r="L746" i="3"/>
  <c r="L744" i="3"/>
  <c r="L743" i="3"/>
  <c r="L741" i="3"/>
  <c r="L740" i="3"/>
  <c r="L738" i="3"/>
  <c r="L737" i="3"/>
  <c r="L728" i="3"/>
  <c r="L727" i="3"/>
  <c r="L720" i="3"/>
  <c r="L719" i="3" s="1"/>
  <c r="L718" i="3"/>
  <c r="L717" i="3"/>
  <c r="L716" i="3"/>
  <c r="L709" i="3"/>
  <c r="L708" i="3" s="1"/>
  <c r="L707" i="3" s="1"/>
  <c r="L706" i="3"/>
  <c r="L705" i="3" s="1"/>
  <c r="L704" i="3" s="1"/>
  <c r="L703" i="3"/>
  <c r="L702" i="3" s="1"/>
  <c r="L701" i="3" s="1"/>
  <c r="L694" i="3"/>
  <c r="L693" i="3"/>
  <c r="L667" i="3"/>
  <c r="L666" i="3" s="1"/>
  <c r="L665" i="3"/>
  <c r="L664" i="3" s="1"/>
  <c r="L663" i="3"/>
  <c r="L662" i="3" s="1"/>
  <c r="L661" i="3"/>
  <c r="L660" i="3" s="1"/>
  <c r="L659" i="3"/>
  <c r="L658" i="3"/>
  <c r="L657" i="3"/>
  <c r="L653" i="3"/>
  <c r="L652" i="3" s="1"/>
  <c r="L651" i="3" s="1"/>
  <c r="L650" i="3" s="1"/>
  <c r="L646" i="3"/>
  <c r="L645" i="3" s="1"/>
  <c r="L644" i="3" s="1"/>
  <c r="L643" i="3" s="1"/>
  <c r="L642" i="3" s="1"/>
  <c r="L641" i="3" s="1"/>
  <c r="L640" i="3" s="1"/>
  <c r="L637" i="3"/>
  <c r="L636" i="3" s="1"/>
  <c r="L635" i="3"/>
  <c r="L634" i="3"/>
  <c r="L633" i="3"/>
  <c r="L631" i="3"/>
  <c r="L630" i="3"/>
  <c r="L625" i="3"/>
  <c r="L624" i="3" s="1"/>
  <c r="L623" i="3" s="1"/>
  <c r="L622" i="3" s="1"/>
  <c r="L619" i="3"/>
  <c r="L618" i="3" s="1"/>
  <c r="L617" i="3"/>
  <c r="L616" i="3"/>
  <c r="L608" i="3"/>
  <c r="L607" i="3"/>
  <c r="L601" i="3"/>
  <c r="L600" i="3" s="1"/>
  <c r="L599" i="3"/>
  <c r="L598" i="3" s="1"/>
  <c r="L590" i="3"/>
  <c r="L589" i="3" s="1"/>
  <c r="L588" i="3" s="1"/>
  <c r="L587" i="3" s="1"/>
  <c r="L586" i="3" s="1"/>
  <c r="L585" i="3" s="1"/>
  <c r="L584" i="3"/>
  <c r="L583" i="3" s="1"/>
  <c r="L582" i="3" s="1"/>
  <c r="L581" i="3" s="1"/>
  <c r="L580" i="3" s="1"/>
  <c r="L579" i="3" s="1"/>
  <c r="L578" i="3"/>
  <c r="L577" i="3" s="1"/>
  <c r="L576" i="3"/>
  <c r="L575" i="3" s="1"/>
  <c r="L567" i="3"/>
  <c r="L566" i="3" s="1"/>
  <c r="L565" i="3" s="1"/>
  <c r="L555" i="3"/>
  <c r="L554" i="3"/>
  <c r="L547" i="3"/>
  <c r="L546" i="3" s="1"/>
  <c r="L545" i="3"/>
  <c r="L544" i="3" s="1"/>
  <c r="L543" i="3"/>
  <c r="L542" i="3" s="1"/>
  <c r="L541" i="3"/>
  <c r="L539" i="3"/>
  <c r="L538" i="3"/>
  <c r="L536" i="3"/>
  <c r="L535" i="3"/>
  <c r="L530" i="3"/>
  <c r="L529" i="3" s="1"/>
  <c r="L528" i="3" s="1"/>
  <c r="L527" i="3" s="1"/>
  <c r="L522" i="3"/>
  <c r="L521" i="3" s="1"/>
  <c r="L514" i="3"/>
  <c r="L513" i="3" s="1"/>
  <c r="L512" i="3"/>
  <c r="L511" i="3" s="1"/>
  <c r="L510" i="3"/>
  <c r="L507" i="3"/>
  <c r="L506" i="3" s="1"/>
  <c r="L505" i="3"/>
  <c r="L504" i="3"/>
  <c r="L502" i="3"/>
  <c r="L501" i="3"/>
  <c r="L500" i="3"/>
  <c r="L499" i="3"/>
  <c r="L493" i="3"/>
  <c r="L492" i="3"/>
  <c r="L483" i="3"/>
  <c r="L482" i="3"/>
  <c r="L481" i="3"/>
  <c r="L476" i="3"/>
  <c r="L475" i="3"/>
  <c r="L470" i="3"/>
  <c r="L469" i="3"/>
  <c r="L467" i="3"/>
  <c r="L466" i="3"/>
  <c r="L465" i="3"/>
  <c r="L462" i="3"/>
  <c r="L461" i="3"/>
  <c r="L459" i="3"/>
  <c r="L458" i="3"/>
  <c r="L456" i="3"/>
  <c r="L455" i="3" s="1"/>
  <c r="L454" i="3"/>
  <c r="L453" i="3"/>
  <c r="L452" i="3"/>
  <c r="L450" i="3"/>
  <c r="L449" i="3"/>
  <c r="L447" i="3"/>
  <c r="L444" i="3"/>
  <c r="L442" i="3"/>
  <c r="L435" i="3"/>
  <c r="L434" i="3" s="1"/>
  <c r="L433" i="3" s="1"/>
  <c r="L432" i="3" s="1"/>
  <c r="L431" i="3" s="1"/>
  <c r="L430" i="3"/>
  <c r="L429" i="3" s="1"/>
  <c r="L428" i="3" s="1"/>
  <c r="L427" i="3" s="1"/>
  <c r="L426" i="3" s="1"/>
  <c r="L425" i="3"/>
  <c r="L424" i="3" s="1"/>
  <c r="L423" i="3"/>
  <c r="L422" i="3" s="1"/>
  <c r="L421" i="3"/>
  <c r="L420" i="3" s="1"/>
  <c r="L419" i="3"/>
  <c r="L418" i="3" s="1"/>
  <c r="L417" i="3"/>
  <c r="L416" i="3" s="1"/>
  <c r="L408" i="3"/>
  <c r="L407" i="3" s="1"/>
  <c r="L406" i="3" s="1"/>
  <c r="L405" i="3"/>
  <c r="L404" i="3" s="1"/>
  <c r="L403" i="3" s="1"/>
  <c r="L402" i="3"/>
  <c r="L401" i="3" s="1"/>
  <c r="L400" i="3" s="1"/>
  <c r="L393" i="3"/>
  <c r="L392" i="3" s="1"/>
  <c r="L384" i="3"/>
  <c r="L383" i="3" s="1"/>
  <c r="L382" i="3" s="1"/>
  <c r="L381" i="3" s="1"/>
  <c r="L380" i="3" s="1"/>
  <c r="L379" i="3" s="1"/>
  <c r="L378" i="3"/>
  <c r="L377" i="3" s="1"/>
  <c r="L376" i="3" s="1"/>
  <c r="L375" i="3" s="1"/>
  <c r="L374" i="3" s="1"/>
  <c r="L373" i="3" s="1"/>
  <c r="L370" i="3"/>
  <c r="L369" i="3" s="1"/>
  <c r="L363" i="3"/>
  <c r="L362" i="3" s="1"/>
  <c r="L354" i="3"/>
  <c r="L353" i="3" s="1"/>
  <c r="L352" i="3" s="1"/>
  <c r="L351" i="3" s="1"/>
  <c r="L350" i="3" s="1"/>
  <c r="L349" i="3" s="1"/>
  <c r="L348" i="3" s="1"/>
  <c r="L347" i="3"/>
  <c r="L338" i="3"/>
  <c r="L337" i="3" s="1"/>
  <c r="L336" i="3" s="1"/>
  <c r="L335" i="3" s="1"/>
  <c r="L334" i="3"/>
  <c r="L333" i="3" s="1"/>
  <c r="L332" i="3" s="1"/>
  <c r="L328" i="3"/>
  <c r="L327" i="3" s="1"/>
  <c r="L326" i="3"/>
  <c r="L325" i="3"/>
  <c r="L322" i="3"/>
  <c r="L316" i="3"/>
  <c r="L315" i="3" s="1"/>
  <c r="L314" i="3" s="1"/>
  <c r="L313" i="3"/>
  <c r="L312" i="3" s="1"/>
  <c r="L311" i="3" s="1"/>
  <c r="L304" i="3"/>
  <c r="L303" i="3" s="1"/>
  <c r="L302" i="3"/>
  <c r="L301" i="3"/>
  <c r="L286" i="3"/>
  <c r="L285" i="3" s="1"/>
  <c r="L284" i="3" s="1"/>
  <c r="L283" i="3" s="1"/>
  <c r="L282" i="3" s="1"/>
  <c r="L281" i="3" s="1"/>
  <c r="L280" i="3" s="1"/>
  <c r="L279" i="3"/>
  <c r="L278" i="3" s="1"/>
  <c r="L277" i="3" s="1"/>
  <c r="L276" i="3" s="1"/>
  <c r="L275" i="3" s="1"/>
  <c r="L274" i="3" s="1"/>
  <c r="L273" i="3" s="1"/>
  <c r="L272" i="3"/>
  <c r="L271" i="3" s="1"/>
  <c r="L270" i="3" s="1"/>
  <c r="L269" i="3"/>
  <c r="L268" i="3" s="1"/>
  <c r="L267" i="3" s="1"/>
  <c r="L263" i="3"/>
  <c r="L262" i="3" s="1"/>
  <c r="L261" i="3" s="1"/>
  <c r="L260" i="3"/>
  <c r="L218" i="3"/>
  <c r="L217" i="3" s="1"/>
  <c r="L216" i="3" s="1"/>
  <c r="L215" i="3" s="1"/>
  <c r="L214" i="3" s="1"/>
  <c r="L213" i="3" s="1"/>
  <c r="L212" i="3" s="1"/>
  <c r="L211" i="3"/>
  <c r="L210" i="3" s="1"/>
  <c r="L209" i="3" s="1"/>
  <c r="L208" i="3" s="1"/>
  <c r="L207" i="3" s="1"/>
  <c r="L206" i="3" s="1"/>
  <c r="L205" i="3"/>
  <c r="L204" i="3" s="1"/>
  <c r="L203" i="3" s="1"/>
  <c r="L202" i="3" s="1"/>
  <c r="L201" i="3" s="1"/>
  <c r="L200" i="3" s="1"/>
  <c r="L198" i="3"/>
  <c r="L197" i="3" s="1"/>
  <c r="L196" i="3" s="1"/>
  <c r="L195" i="3" s="1"/>
  <c r="L194" i="3" s="1"/>
  <c r="L193" i="3" s="1"/>
  <c r="L192" i="3" s="1"/>
  <c r="L191" i="3"/>
  <c r="L190" i="3" s="1"/>
  <c r="L189" i="3" s="1"/>
  <c r="L188" i="3" s="1"/>
  <c r="L187" i="3"/>
  <c r="L186" i="3" s="1"/>
  <c r="L185" i="3" s="1"/>
  <c r="L184" i="3" s="1"/>
  <c r="L179" i="3"/>
  <c r="L178" i="3" s="1"/>
  <c r="L177" i="3"/>
  <c r="L176" i="3" s="1"/>
  <c r="L166" i="3"/>
  <c r="L165" i="3"/>
  <c r="L160" i="3"/>
  <c r="L159" i="3" s="1"/>
  <c r="L153" i="3"/>
  <c r="L152" i="3" s="1"/>
  <c r="L151" i="3" s="1"/>
  <c r="L150" i="3" s="1"/>
  <c r="L149" i="3"/>
  <c r="L148" i="3" s="1"/>
  <c r="L147" i="3" s="1"/>
  <c r="L146" i="3" s="1"/>
  <c r="L143" i="3"/>
  <c r="L142" i="3" s="1"/>
  <c r="L141" i="3" s="1"/>
  <c r="L140" i="3" s="1"/>
  <c r="L139" i="3" s="1"/>
  <c r="L138" i="3" s="1"/>
  <c r="L137" i="3"/>
  <c r="L136" i="3" s="1"/>
  <c r="L135" i="3" s="1"/>
  <c r="L127" i="3"/>
  <c r="L126" i="3" s="1"/>
  <c r="L125" i="3" s="1"/>
  <c r="L124" i="3" s="1"/>
  <c r="L120" i="3"/>
  <c r="L119" i="3"/>
  <c r="L118" i="3"/>
  <c r="L114" i="3"/>
  <c r="L113" i="3" s="1"/>
  <c r="L112" i="3" s="1"/>
  <c r="L111" i="3"/>
  <c r="L110" i="3" s="1"/>
  <c r="L103" i="3"/>
  <c r="L102" i="3" s="1"/>
  <c r="L101" i="3"/>
  <c r="L100" i="3" s="1"/>
  <c r="L99" i="3"/>
  <c r="L98" i="3" s="1"/>
  <c r="L97" i="3"/>
  <c r="L96" i="3" s="1"/>
  <c r="L90" i="3"/>
  <c r="L89" i="3" s="1"/>
  <c r="L88" i="3" s="1"/>
  <c r="L87" i="3"/>
  <c r="L86" i="3" s="1"/>
  <c r="L85" i="3" s="1"/>
  <c r="L84" i="3"/>
  <c r="L83" i="3" s="1"/>
  <c r="L82" i="3"/>
  <c r="L81" i="3" s="1"/>
  <c r="L79" i="3"/>
  <c r="L78" i="3"/>
  <c r="L75" i="3"/>
  <c r="L74" i="3" s="1"/>
  <c r="L73" i="3" s="1"/>
  <c r="L70" i="3"/>
  <c r="L69" i="3" s="1"/>
  <c r="L68" i="3" s="1"/>
  <c r="L67" i="3" s="1"/>
  <c r="L66" i="3" s="1"/>
  <c r="L58" i="3"/>
  <c r="L57" i="3" s="1"/>
  <c r="L56" i="3" s="1"/>
  <c r="L55" i="3" s="1"/>
  <c r="L45" i="3"/>
  <c r="L44" i="3"/>
  <c r="L42" i="3"/>
  <c r="L41" i="3" s="1"/>
  <c r="L40" i="3"/>
  <c r="L39" i="3"/>
  <c r="L37" i="3"/>
  <c r="L36" i="3" s="1"/>
  <c r="L35" i="3"/>
  <c r="L34" i="3" s="1"/>
  <c r="L31" i="3"/>
  <c r="L30" i="3"/>
  <c r="L29" i="3"/>
  <c r="L402" i="19" l="1"/>
  <c r="L401" i="19" s="1"/>
  <c r="L400" i="19" s="1"/>
  <c r="L399" i="19" s="1"/>
  <c r="L398" i="19" s="1"/>
  <c r="L397" i="19" s="1"/>
  <c r="L443" i="19"/>
  <c r="L442" i="19" s="1"/>
  <c r="L564" i="19"/>
  <c r="L164" i="3"/>
  <c r="L320" i="19"/>
  <c r="L330" i="19"/>
  <c r="L577" i="19"/>
  <c r="L739" i="3"/>
  <c r="L468" i="3"/>
  <c r="L553" i="3"/>
  <c r="L552" i="3" s="1"/>
  <c r="L551" i="3" s="1"/>
  <c r="L550" i="3" s="1"/>
  <c r="L549" i="3" s="1"/>
  <c r="L548" i="3" s="1"/>
  <c r="L117" i="3"/>
  <c r="L116" i="3" s="1"/>
  <c r="L115" i="3" s="1"/>
  <c r="L755" i="3"/>
  <c r="L460" i="19"/>
  <c r="L544" i="19"/>
  <c r="L543" i="19" s="1"/>
  <c r="L542" i="19" s="1"/>
  <c r="L541" i="19" s="1"/>
  <c r="L540" i="19" s="1"/>
  <c r="L326" i="19"/>
  <c r="L502" i="19"/>
  <c r="L501" i="19" s="1"/>
  <c r="L500" i="19" s="1"/>
  <c r="L499" i="19" s="1"/>
  <c r="L498" i="19" s="1"/>
  <c r="L536" i="19"/>
  <c r="L535" i="19" s="1"/>
  <c r="L534" i="19" s="1"/>
  <c r="L533" i="19" s="1"/>
  <c r="L532" i="19" s="1"/>
  <c r="L574" i="19"/>
  <c r="L178" i="19"/>
  <c r="L177" i="19" s="1"/>
  <c r="L176" i="19" s="1"/>
  <c r="L175" i="19" s="1"/>
  <c r="L174" i="19" s="1"/>
  <c r="L238" i="19"/>
  <c r="L237" i="19" s="1"/>
  <c r="L236" i="19" s="1"/>
  <c r="L235" i="19" s="1"/>
  <c r="L323" i="19"/>
  <c r="L340" i="19"/>
  <c r="L451" i="19"/>
  <c r="L450" i="19" s="1"/>
  <c r="L561" i="19"/>
  <c r="L474" i="3"/>
  <c r="L43" i="3"/>
  <c r="L77" i="3"/>
  <c r="L76" i="3" s="1"/>
  <c r="L448" i="3"/>
  <c r="L457" i="3"/>
  <c r="L503" i="3"/>
  <c r="L451" i="3"/>
  <c r="L736" i="3"/>
  <c r="L752" i="3"/>
  <c r="L758" i="3"/>
  <c r="L742" i="3"/>
  <c r="L491" i="3"/>
  <c r="L490" i="3" s="1"/>
  <c r="L489" i="3" s="1"/>
  <c r="L488" i="3" s="1"/>
  <c r="L615" i="3"/>
  <c r="L614" i="3" s="1"/>
  <c r="L613" i="3" s="1"/>
  <c r="L359" i="3"/>
  <c r="L358" i="3" s="1"/>
  <c r="L357" i="3" s="1"/>
  <c r="L356" i="3" s="1"/>
  <c r="L355" i="3" s="1"/>
  <c r="L656" i="3"/>
  <c r="L655" i="3" s="1"/>
  <c r="L654" i="3" s="1"/>
  <c r="L43" i="19"/>
  <c r="L219" i="19"/>
  <c r="L334" i="19"/>
  <c r="L386" i="19"/>
  <c r="L438" i="19"/>
  <c r="L464" i="19"/>
  <c r="L204" i="19"/>
  <c r="L203" i="19" s="1"/>
  <c r="L202" i="19" s="1"/>
  <c r="L201" i="19" s="1"/>
  <c r="L200" i="19" s="1"/>
  <c r="L199" i="19" s="1"/>
  <c r="L345" i="19"/>
  <c r="L38" i="19"/>
  <c r="L312" i="19"/>
  <c r="L337" i="19"/>
  <c r="L555" i="19"/>
  <c r="L571" i="19"/>
  <c r="L558" i="19"/>
  <c r="L521" i="19"/>
  <c r="L520" i="19" s="1"/>
  <c r="L519" i="19" s="1"/>
  <c r="L518" i="19" s="1"/>
  <c r="L418" i="19"/>
  <c r="L417" i="19" s="1"/>
  <c r="L416" i="19" s="1"/>
  <c r="L415" i="19" s="1"/>
  <c r="L414" i="19" s="1"/>
  <c r="L390" i="19"/>
  <c r="L357" i="19"/>
  <c r="L139" i="19"/>
  <c r="L138" i="19" s="1"/>
  <c r="L137" i="19" s="1"/>
  <c r="L87" i="19"/>
  <c r="L86" i="19" s="1"/>
  <c r="L85" i="19" s="1"/>
  <c r="L84" i="19" s="1"/>
  <c r="L69" i="19"/>
  <c r="L68" i="19" s="1"/>
  <c r="L72" i="19"/>
  <c r="L275" i="19"/>
  <c r="L274" i="19" s="1"/>
  <c r="L273" i="19" s="1"/>
  <c r="L272" i="19" s="1"/>
  <c r="L128" i="19"/>
  <c r="L94" i="19"/>
  <c r="L114" i="19"/>
  <c r="L113" i="19" s="1"/>
  <c r="L112" i="19" s="1"/>
  <c r="L158" i="19"/>
  <c r="L184" i="19"/>
  <c r="L183" i="19" s="1"/>
  <c r="L182" i="19" s="1"/>
  <c r="L241" i="19"/>
  <c r="L38" i="3"/>
  <c r="L632" i="3"/>
  <c r="L745" i="3"/>
  <c r="L28" i="3"/>
  <c r="L464" i="3"/>
  <c r="L480" i="3"/>
  <c r="L715" i="3"/>
  <c r="L714" i="3" s="1"/>
  <c r="L713" i="3" s="1"/>
  <c r="L712" i="3" s="1"/>
  <c r="L711" i="3" s="1"/>
  <c r="L498" i="3"/>
  <c r="L266" i="3"/>
  <c r="L265" i="3" s="1"/>
  <c r="L264" i="3" s="1"/>
  <c r="L95" i="3"/>
  <c r="L94" i="3" s="1"/>
  <c r="L93" i="3" s="1"/>
  <c r="L92" i="3" s="1"/>
  <c r="L199" i="3"/>
  <c r="L145" i="3"/>
  <c r="L183" i="3"/>
  <c r="L182" i="3" s="1"/>
  <c r="L310" i="3"/>
  <c r="L700" i="3"/>
  <c r="L699" i="3" s="1"/>
  <c r="L698" i="3" s="1"/>
  <c r="L697" i="3" s="1"/>
  <c r="L80" i="3"/>
  <c r="L399" i="3"/>
  <c r="L398" i="3" s="1"/>
  <c r="L397" i="3" s="1"/>
  <c r="L396" i="3" s="1"/>
  <c r="L559" i="3"/>
  <c r="L558" i="3" s="1"/>
  <c r="L560" i="3"/>
  <c r="L531" i="19" l="1"/>
  <c r="L649" i="3"/>
  <c r="L648" i="3" s="1"/>
  <c r="L173" i="19"/>
  <c r="L172" i="19" s="1"/>
  <c r="L459" i="19"/>
  <c r="L458" i="19" s="1"/>
  <c r="L457" i="19" s="1"/>
  <c r="L456" i="19" s="1"/>
  <c r="L517" i="19"/>
  <c r="L554" i="19"/>
  <c r="L553" i="19" s="1"/>
  <c r="L552" i="19" s="1"/>
  <c r="L551" i="19" s="1"/>
  <c r="L570" i="19"/>
  <c r="L569" i="19" s="1"/>
  <c r="L568" i="19" s="1"/>
  <c r="L567" i="19" s="1"/>
  <c r="L385" i="19"/>
  <c r="L384" i="19" s="1"/>
  <c r="L383" i="19" s="1"/>
  <c r="L382" i="19" s="1"/>
  <c r="L72" i="3"/>
  <c r="L71" i="3" s="1"/>
  <c r="L60" i="3" s="1"/>
  <c r="L751" i="3"/>
  <c r="L750" i="3" s="1"/>
  <c r="L749" i="3" s="1"/>
  <c r="L748" i="3" s="1"/>
  <c r="L735" i="3"/>
  <c r="L734" i="3" s="1"/>
  <c r="L733" i="3" s="1"/>
  <c r="L732" i="3" s="1"/>
  <c r="L27" i="3"/>
  <c r="L67" i="19"/>
  <c r="L66" i="19" s="1"/>
  <c r="L60" i="19" s="1"/>
  <c r="L550" i="19" l="1"/>
  <c r="L549" i="19" s="1"/>
  <c r="L731" i="3"/>
  <c r="L730" i="3" s="1"/>
  <c r="I309" i="18" l="1"/>
  <c r="I308" i="18" s="1"/>
  <c r="H309" i="18"/>
  <c r="H308" i="18" s="1"/>
  <c r="N260" i="19"/>
  <c r="M260" i="19"/>
  <c r="L260" i="19" s="1"/>
  <c r="L259" i="19" s="1"/>
  <c r="L258" i="19" s="1"/>
  <c r="L257" i="19" s="1"/>
  <c r="L256" i="19" s="1"/>
  <c r="L255" i="19" s="1"/>
  <c r="L254" i="19" s="1"/>
  <c r="N261" i="19"/>
  <c r="M261" i="19"/>
  <c r="M392" i="3"/>
  <c r="L391" i="3"/>
  <c r="L390" i="3" s="1"/>
  <c r="L389" i="3" s="1"/>
  <c r="L388" i="3" s="1"/>
  <c r="L387" i="3" s="1"/>
  <c r="L386" i="3" s="1"/>
  <c r="L385" i="3" s="1"/>
  <c r="D45" i="16" l="1"/>
  <c r="C45" i="16"/>
  <c r="D55" i="16" l="1"/>
  <c r="C55" i="16"/>
  <c r="H65" i="18" l="1"/>
  <c r="I66" i="18"/>
  <c r="I65" i="18" s="1"/>
  <c r="N343" i="19"/>
  <c r="L134" i="3" l="1"/>
  <c r="L133" i="3" s="1"/>
  <c r="L132" i="3" s="1"/>
  <c r="L131" i="3" s="1"/>
  <c r="L130" i="3" s="1"/>
  <c r="L129" i="3" s="1"/>
  <c r="L574" i="3" l="1"/>
  <c r="L573" i="3" s="1"/>
  <c r="L572" i="3" s="1"/>
  <c r="L571" i="3" s="1"/>
  <c r="L570" i="3" s="1"/>
  <c r="L569" i="3" s="1"/>
  <c r="L568" i="3" s="1"/>
  <c r="M686" i="3"/>
  <c r="L686" i="3" s="1"/>
  <c r="L685" i="3" s="1"/>
  <c r="L684" i="3" s="1"/>
  <c r="L683" i="3" s="1"/>
  <c r="L682" i="3" s="1"/>
  <c r="L681" i="3" s="1"/>
  <c r="M685" i="3" l="1"/>
  <c r="N48" i="19"/>
  <c r="H95" i="7" l="1"/>
  <c r="M509" i="3"/>
  <c r="M446" i="3"/>
  <c r="L446" i="3" s="1"/>
  <c r="L445" i="3" s="1"/>
  <c r="H94" i="7" l="1"/>
  <c r="H93" i="7" s="1"/>
  <c r="L509" i="3"/>
  <c r="L508" i="3" s="1"/>
  <c r="L497" i="3" s="1"/>
  <c r="M508" i="3"/>
  <c r="L496" i="3" l="1"/>
  <c r="L495" i="3" s="1"/>
  <c r="L494" i="3" s="1"/>
  <c r="N445" i="19"/>
  <c r="D24" i="16"/>
  <c r="N455" i="19" l="1"/>
  <c r="N454" i="19" s="1"/>
  <c r="I392" i="18" l="1"/>
  <c r="H392" i="18"/>
  <c r="I391" i="18"/>
  <c r="H391" i="18"/>
  <c r="N43" i="19"/>
  <c r="M43" i="19"/>
  <c r="H487" i="7"/>
  <c r="H486" i="7"/>
  <c r="M43" i="3"/>
  <c r="I61" i="18"/>
  <c r="H61" i="18"/>
  <c r="I60" i="18"/>
  <c r="H60" i="18"/>
  <c r="I70" i="18"/>
  <c r="I69" i="18"/>
  <c r="I68" i="18"/>
  <c r="H70" i="18"/>
  <c r="H69" i="18"/>
  <c r="H68" i="18"/>
  <c r="H73" i="7"/>
  <c r="H72" i="7"/>
  <c r="H80" i="7"/>
  <c r="H79" i="7"/>
  <c r="H78" i="7"/>
  <c r="H390" i="18" l="1"/>
  <c r="H71" i="7"/>
  <c r="I390" i="18"/>
  <c r="H485" i="7"/>
  <c r="H59" i="18"/>
  <c r="I59" i="18"/>
  <c r="H67" i="18"/>
  <c r="I67" i="18"/>
  <c r="H77" i="7"/>
  <c r="M319" i="19"/>
  <c r="L319" i="19" s="1"/>
  <c r="L317" i="19" s="1"/>
  <c r="L311" i="19" s="1"/>
  <c r="L310" i="19" s="1"/>
  <c r="L309" i="19" s="1"/>
  <c r="L308" i="19" s="1"/>
  <c r="N319" i="19"/>
  <c r="M343" i="19"/>
  <c r="N337" i="19"/>
  <c r="M337" i="19"/>
  <c r="N345" i="19"/>
  <c r="M345" i="19"/>
  <c r="M474" i="3"/>
  <c r="M480" i="3"/>
  <c r="M479" i="3" l="1"/>
  <c r="L479" i="3" s="1"/>
  <c r="M478" i="3"/>
  <c r="L478" i="3" s="1"/>
  <c r="L477" i="3" l="1"/>
  <c r="M477" i="3"/>
  <c r="N571" i="19"/>
  <c r="M571" i="19"/>
  <c r="N577" i="19"/>
  <c r="M577" i="19"/>
  <c r="N558" i="19"/>
  <c r="M558" i="19"/>
  <c r="N561" i="19"/>
  <c r="M561" i="19"/>
  <c r="H390" i="7"/>
  <c r="H391" i="7"/>
  <c r="M752" i="3"/>
  <c r="M758" i="3"/>
  <c r="M739" i="3"/>
  <c r="M742" i="3"/>
  <c r="D61" i="16"/>
  <c r="C61" i="16"/>
  <c r="M158" i="3" l="1"/>
  <c r="L158" i="3" s="1"/>
  <c r="L157" i="3" s="1"/>
  <c r="L156" i="3" s="1"/>
  <c r="L155" i="3" s="1"/>
  <c r="L154" i="3" s="1"/>
  <c r="M151" i="19"/>
  <c r="L151" i="19" s="1"/>
  <c r="L150" i="19" s="1"/>
  <c r="M170" i="3"/>
  <c r="L170" i="3" s="1"/>
  <c r="L169" i="3" s="1"/>
  <c r="L163" i="3" s="1"/>
  <c r="L162" i="3" s="1"/>
  <c r="L161" i="3" s="1"/>
  <c r="L612" i="3"/>
  <c r="L611" i="3" s="1"/>
  <c r="M372" i="3"/>
  <c r="L372" i="3" s="1"/>
  <c r="L371" i="3" s="1"/>
  <c r="L368" i="3" s="1"/>
  <c r="L367" i="3" s="1"/>
  <c r="L366" i="3" s="1"/>
  <c r="L365" i="3" s="1"/>
  <c r="L364" i="3" s="1"/>
  <c r="L144" i="3" l="1"/>
  <c r="L128" i="3" s="1"/>
  <c r="M181" i="3"/>
  <c r="L181" i="3" s="1"/>
  <c r="L180" i="3" s="1"/>
  <c r="L175" i="3" s="1"/>
  <c r="M109" i="3"/>
  <c r="L109" i="3" s="1"/>
  <c r="L108" i="3" s="1"/>
  <c r="L107" i="3" s="1"/>
  <c r="L106" i="3" s="1"/>
  <c r="L105" i="3" s="1"/>
  <c r="L104" i="3" s="1"/>
  <c r="L91" i="3" s="1"/>
  <c r="M321" i="3"/>
  <c r="L321" i="3" s="1"/>
  <c r="M259" i="3"/>
  <c r="L259" i="3" s="1"/>
  <c r="M48" i="3"/>
  <c r="L48" i="3" s="1"/>
  <c r="L47" i="3" s="1"/>
  <c r="L46" i="3" s="1"/>
  <c r="L26" i="3" s="1"/>
  <c r="L25" i="3" s="1"/>
  <c r="L24" i="3" s="1"/>
  <c r="M331" i="3"/>
  <c r="L331" i="3" s="1"/>
  <c r="L330" i="3" s="1"/>
  <c r="L329" i="3" s="1"/>
  <c r="M346" i="3"/>
  <c r="L346" i="3" s="1"/>
  <c r="L345" i="3" s="1"/>
  <c r="L344" i="3" s="1"/>
  <c r="L343" i="3" s="1"/>
  <c r="L342" i="3" s="1"/>
  <c r="L173" i="3" l="1"/>
  <c r="L172" i="3" s="1"/>
  <c r="L171" i="3" s="1"/>
  <c r="L174" i="3"/>
  <c r="H347" i="7"/>
  <c r="H346" i="7" s="1"/>
  <c r="H310" i="7"/>
  <c r="H309" i="7" s="1"/>
  <c r="H492" i="7"/>
  <c r="H491" i="7" s="1"/>
  <c r="F40" i="6" l="1"/>
  <c r="E40" i="6"/>
  <c r="M383" i="3"/>
  <c r="M382" i="3" s="1"/>
  <c r="M381" i="3" s="1"/>
  <c r="M380" i="3" s="1"/>
  <c r="M379" i="3" s="1"/>
  <c r="M278" i="3"/>
  <c r="M277" i="3" s="1"/>
  <c r="M276" i="3" s="1"/>
  <c r="M275" i="3" s="1"/>
  <c r="M274" i="3" s="1"/>
  <c r="M273" i="3" s="1"/>
  <c r="M197" i="3"/>
  <c r="M196" i="3" s="1"/>
  <c r="M195" i="3" s="1"/>
  <c r="M194" i="3" s="1"/>
  <c r="M193" i="3" s="1"/>
  <c r="M192" i="3" s="1"/>
  <c r="M795" i="3" l="1"/>
  <c r="D40" i="6" s="1"/>
  <c r="M524" i="3"/>
  <c r="L524" i="3" s="1"/>
  <c r="L523" i="3" s="1"/>
  <c r="L520" i="3" s="1"/>
  <c r="L519" i="3" s="1"/>
  <c r="L518" i="3" s="1"/>
  <c r="L517" i="3" s="1"/>
  <c r="C61" i="2"/>
  <c r="N54" i="19"/>
  <c r="M54" i="19"/>
  <c r="L54" i="19" s="1"/>
  <c r="L53" i="19" s="1"/>
  <c r="L52" i="19" s="1"/>
  <c r="L51" i="19" s="1"/>
  <c r="L50" i="19" s="1"/>
  <c r="L49" i="19" s="1"/>
  <c r="M54" i="3"/>
  <c r="L54" i="3" s="1"/>
  <c r="L53" i="3" s="1"/>
  <c r="L52" i="3" s="1"/>
  <c r="L51" i="3" s="1"/>
  <c r="L50" i="3" s="1"/>
  <c r="L49" i="3" s="1"/>
  <c r="M487" i="3"/>
  <c r="L487" i="3" s="1"/>
  <c r="L486" i="3" s="1"/>
  <c r="L485" i="3" s="1"/>
  <c r="L484" i="3" s="1"/>
  <c r="C58" i="16"/>
  <c r="D58" i="16"/>
  <c r="C66" i="2"/>
  <c r="C60" i="2"/>
  <c r="M606" i="3" l="1"/>
  <c r="L606" i="3" s="1"/>
  <c r="L605" i="3" s="1"/>
  <c r="L604" i="3" s="1"/>
  <c r="M597" i="3"/>
  <c r="L597" i="3" s="1"/>
  <c r="L596" i="3" s="1"/>
  <c r="L595" i="3" s="1"/>
  <c r="L594" i="3" l="1"/>
  <c r="L593" i="3" s="1"/>
  <c r="L592" i="3" s="1"/>
  <c r="M443" i="3"/>
  <c r="L443" i="3" s="1"/>
  <c r="M441" i="3"/>
  <c r="L441" i="3" s="1"/>
  <c r="M415" i="3"/>
  <c r="L415" i="3" s="1"/>
  <c r="L414" i="3" s="1"/>
  <c r="L413" i="3" s="1"/>
  <c r="L412" i="3" s="1"/>
  <c r="L411" i="3" s="1"/>
  <c r="L410" i="3" s="1"/>
  <c r="L440" i="3" l="1"/>
  <c r="N31" i="19"/>
  <c r="M31" i="19"/>
  <c r="L31" i="19" s="1"/>
  <c r="M540" i="3" l="1"/>
  <c r="L540" i="3" s="1"/>
  <c r="L537" i="3" s="1"/>
  <c r="M324" i="3" l="1"/>
  <c r="L324" i="3" s="1"/>
  <c r="L323" i="3" s="1"/>
  <c r="L300" i="3" l="1"/>
  <c r="L299" i="3" s="1"/>
  <c r="L298" i="3" s="1"/>
  <c r="L297" i="3" s="1"/>
  <c r="L296" i="3" s="1"/>
  <c r="L295" i="3" s="1"/>
  <c r="L294" i="3" s="1"/>
  <c r="M258" i="3" l="1"/>
  <c r="L258" i="3" s="1"/>
  <c r="L257" i="3" s="1"/>
  <c r="L256" i="3" s="1"/>
  <c r="L255" i="3" s="1"/>
  <c r="L254" i="3" s="1"/>
  <c r="L253" i="3" s="1"/>
  <c r="L252" i="3" s="1"/>
  <c r="L251" i="3" s="1"/>
  <c r="M726" i="3"/>
  <c r="L726" i="3" s="1"/>
  <c r="L725" i="3" s="1"/>
  <c r="L724" i="3" s="1"/>
  <c r="L723" i="3" s="1"/>
  <c r="L722" i="3" s="1"/>
  <c r="L721" i="3" s="1"/>
  <c r="L710" i="3" s="1"/>
  <c r="L696" i="3" s="1"/>
  <c r="M692" i="3"/>
  <c r="L692" i="3" s="1"/>
  <c r="L691" i="3" s="1"/>
  <c r="L690" i="3" s="1"/>
  <c r="L689" i="3" s="1"/>
  <c r="L688" i="3" s="1"/>
  <c r="L687" i="3" s="1"/>
  <c r="L647" i="3" s="1"/>
  <c r="L639" i="3" s="1"/>
  <c r="M629" i="3"/>
  <c r="L629" i="3" s="1"/>
  <c r="L628" i="3" s="1"/>
  <c r="L627" i="3" s="1"/>
  <c r="L626" i="3" s="1"/>
  <c r="L621" i="3" s="1"/>
  <c r="L620" i="3" s="1"/>
  <c r="L591" i="3" s="1"/>
  <c r="L557" i="3" s="1"/>
  <c r="M534" i="3"/>
  <c r="L534" i="3" s="1"/>
  <c r="L533" i="3" s="1"/>
  <c r="L532" i="3" s="1"/>
  <c r="L531" i="3" s="1"/>
  <c r="L526" i="3" s="1"/>
  <c r="L525" i="3" s="1"/>
  <c r="M320" i="3"/>
  <c r="L320" i="3" s="1"/>
  <c r="L319" i="3" s="1"/>
  <c r="L318" i="3" s="1"/>
  <c r="L317" i="3" s="1"/>
  <c r="L309" i="3" s="1"/>
  <c r="L308" i="3" s="1"/>
  <c r="L307" i="3" s="1"/>
  <c r="L306" i="3" s="1"/>
  <c r="M23" i="3" l="1"/>
  <c r="L23" i="3" s="1"/>
  <c r="L22" i="3" s="1"/>
  <c r="L21" i="3" s="1"/>
  <c r="L20" i="3" s="1"/>
  <c r="L19" i="3" s="1"/>
  <c r="L18" i="3" s="1"/>
  <c r="L17" i="3" l="1"/>
  <c r="L16" i="3" s="1"/>
  <c r="I24" i="18"/>
  <c r="I23" i="18" s="1"/>
  <c r="I196" i="18"/>
  <c r="H196" i="18"/>
  <c r="I43" i="18"/>
  <c r="N238" i="19"/>
  <c r="M238" i="19"/>
  <c r="H24" i="18"/>
  <c r="H23" i="18" s="1"/>
  <c r="M315" i="3"/>
  <c r="M345" i="3"/>
  <c r="H359" i="7"/>
  <c r="H358" i="7" s="1"/>
  <c r="H357" i="7" s="1"/>
  <c r="H356" i="7" s="1"/>
  <c r="M336" i="3"/>
  <c r="M335" i="3" s="1"/>
  <c r="M149" i="19" l="1"/>
  <c r="L149" i="19" s="1"/>
  <c r="L147" i="19" s="1"/>
  <c r="L146" i="19" s="1"/>
  <c r="L145" i="19" s="1"/>
  <c r="L144" i="19" s="1"/>
  <c r="L127" i="19" s="1"/>
  <c r="L111" i="19" s="1"/>
  <c r="I413" i="18"/>
  <c r="I412" i="18" s="1"/>
  <c r="H413" i="18"/>
  <c r="H412" i="18" s="1"/>
  <c r="M150" i="19"/>
  <c r="N150" i="19"/>
  <c r="M755" i="3" l="1"/>
  <c r="M751" i="3" s="1"/>
  <c r="H53" i="7" l="1"/>
  <c r="I195" i="18"/>
  <c r="I194" i="18" s="1"/>
  <c r="I193" i="18" s="1"/>
  <c r="H195" i="18"/>
  <c r="H194" i="18" s="1"/>
  <c r="H193" i="18" s="1"/>
  <c r="M268" i="19" l="1"/>
  <c r="M267" i="19" s="1"/>
  <c r="M266" i="19" s="1"/>
  <c r="M265" i="19" s="1"/>
  <c r="M264" i="19" s="1"/>
  <c r="M263" i="19" s="1"/>
  <c r="N268" i="19"/>
  <c r="N267" i="19" s="1"/>
  <c r="N266" i="19" s="1"/>
  <c r="N265" i="19" s="1"/>
  <c r="N264" i="19" s="1"/>
  <c r="N263" i="19" s="1"/>
  <c r="N246" i="19"/>
  <c r="N245" i="19" s="1"/>
  <c r="M246" i="19"/>
  <c r="M245" i="19" s="1"/>
  <c r="D59" i="16" l="1"/>
  <c r="C59" i="16"/>
  <c r="C67" i="2"/>
  <c r="M546" i="3"/>
  <c r="M506" i="3"/>
  <c r="M451" i="3"/>
  <c r="I167" i="18" l="1"/>
  <c r="H167" i="18"/>
  <c r="I166" i="18"/>
  <c r="H166" i="18"/>
  <c r="I425" i="18"/>
  <c r="I424" i="18" s="1"/>
  <c r="I423" i="18" s="1"/>
  <c r="I422" i="18" s="1"/>
  <c r="I421" i="18" s="1"/>
  <c r="H425" i="18"/>
  <c r="H424" i="18" s="1"/>
  <c r="H423" i="18" s="1"/>
  <c r="H422" i="18" s="1"/>
  <c r="H421" i="18" s="1"/>
  <c r="I234" i="18"/>
  <c r="H234" i="18"/>
  <c r="I233" i="18"/>
  <c r="H233" i="18"/>
  <c r="N395" i="19"/>
  <c r="M395" i="19"/>
  <c r="N379" i="19"/>
  <c r="N378" i="19" s="1"/>
  <c r="M379" i="19"/>
  <c r="M380" i="19"/>
  <c r="N380" i="19"/>
  <c r="N364" i="19"/>
  <c r="I80" i="18" s="1"/>
  <c r="M364" i="19"/>
  <c r="L364" i="19" s="1"/>
  <c r="N363" i="19"/>
  <c r="I79" i="18" s="1"/>
  <c r="M363" i="19"/>
  <c r="N351" i="19"/>
  <c r="M351" i="19"/>
  <c r="I40" i="18"/>
  <c r="H40" i="18"/>
  <c r="N318" i="19"/>
  <c r="I39" i="18" s="1"/>
  <c r="H39" i="18"/>
  <c r="N306" i="19"/>
  <c r="N305" i="19" s="1"/>
  <c r="N304" i="19" s="1"/>
  <c r="N303" i="19" s="1"/>
  <c r="M306" i="19"/>
  <c r="M305" i="19" s="1"/>
  <c r="M304" i="19" s="1"/>
  <c r="M303" i="19" s="1"/>
  <c r="N293" i="19"/>
  <c r="N292" i="19" s="1"/>
  <c r="M293" i="19"/>
  <c r="H284" i="7"/>
  <c r="H283" i="7"/>
  <c r="H52" i="7"/>
  <c r="H25" i="7"/>
  <c r="M491" i="3"/>
  <c r="M490" i="3" s="1"/>
  <c r="M489" i="3" s="1"/>
  <c r="M488" i="3" s="1"/>
  <c r="M463" i="3"/>
  <c r="L463" i="3" s="1"/>
  <c r="L460" i="3" s="1"/>
  <c r="L439" i="3" s="1"/>
  <c r="M455" i="3"/>
  <c r="M429" i="3"/>
  <c r="M428" i="3" s="1"/>
  <c r="M427" i="3" s="1"/>
  <c r="M426" i="3" s="1"/>
  <c r="M292" i="19" l="1"/>
  <c r="L293" i="19"/>
  <c r="L292" i="19" s="1"/>
  <c r="L289" i="19" s="1"/>
  <c r="L288" i="19" s="1"/>
  <c r="L287" i="19" s="1"/>
  <c r="L286" i="19" s="1"/>
  <c r="H102" i="18"/>
  <c r="H101" i="18" s="1"/>
  <c r="L379" i="19"/>
  <c r="L378" i="19" s="1"/>
  <c r="L377" i="19" s="1"/>
  <c r="L376" i="19" s="1"/>
  <c r="L375" i="19" s="1"/>
  <c r="L374" i="19" s="1"/>
  <c r="H79" i="18"/>
  <c r="L363" i="19"/>
  <c r="L362" i="19" s="1"/>
  <c r="L356" i="19" s="1"/>
  <c r="L355" i="19" s="1"/>
  <c r="L354" i="19" s="1"/>
  <c r="L353" i="19" s="1"/>
  <c r="L438" i="3"/>
  <c r="L437" i="3" s="1"/>
  <c r="L436" i="3" s="1"/>
  <c r="L409" i="3" s="1"/>
  <c r="L395" i="3" s="1"/>
  <c r="L15" i="3" s="1"/>
  <c r="N377" i="19"/>
  <c r="M362" i="19"/>
  <c r="M378" i="19"/>
  <c r="M377" i="19" s="1"/>
  <c r="I38" i="18"/>
  <c r="H22" i="18"/>
  <c r="H21" i="18" s="1"/>
  <c r="I22" i="18"/>
  <c r="I21" i="18" s="1"/>
  <c r="I102" i="18"/>
  <c r="I101" i="18" s="1"/>
  <c r="H80" i="18"/>
  <c r="H78" i="18" s="1"/>
  <c r="I165" i="18"/>
  <c r="I164" i="18" s="1"/>
  <c r="H165" i="18"/>
  <c r="H164" i="18" s="1"/>
  <c r="I78" i="18"/>
  <c r="H38" i="18"/>
  <c r="N317" i="19"/>
  <c r="N362" i="19"/>
  <c r="M317" i="19"/>
  <c r="H282" i="7"/>
  <c r="L285" i="19" l="1"/>
  <c r="L271" i="19" s="1"/>
  <c r="M420" i="3"/>
  <c r="N502" i="19" l="1"/>
  <c r="N501" i="19" s="1"/>
  <c r="M502" i="19"/>
  <c r="M501" i="19" s="1"/>
  <c r="I183" i="18"/>
  <c r="I182" i="18" s="1"/>
  <c r="H183" i="18"/>
  <c r="H182" i="18" s="1"/>
  <c r="N490" i="19"/>
  <c r="M490" i="19"/>
  <c r="N514" i="19"/>
  <c r="M514" i="19"/>
  <c r="L514" i="19" s="1"/>
  <c r="L512" i="19" s="1"/>
  <c r="L511" i="19" s="1"/>
  <c r="L510" i="19" s="1"/>
  <c r="L509" i="19" s="1"/>
  <c r="L508" i="19" s="1"/>
  <c r="N489" i="19"/>
  <c r="M489" i="19"/>
  <c r="L489" i="19" s="1"/>
  <c r="L486" i="19" s="1"/>
  <c r="L485" i="19" l="1"/>
  <c r="L484" i="19" s="1"/>
  <c r="L479" i="19" s="1"/>
  <c r="L478" i="19" s="1"/>
  <c r="L477" i="19" s="1"/>
  <c r="L469" i="19" s="1"/>
  <c r="F33" i="6"/>
  <c r="E33" i="6"/>
  <c r="C22" i="2"/>
  <c r="C27" i="2"/>
  <c r="I328" i="18" l="1"/>
  <c r="I327" i="18" s="1"/>
  <c r="I326" i="18" s="1"/>
  <c r="I325" i="18" s="1"/>
  <c r="I324" i="18" s="1"/>
  <c r="H328" i="18"/>
  <c r="H327" i="18" s="1"/>
  <c r="H326" i="18" s="1"/>
  <c r="H325" i="18" s="1"/>
  <c r="H324" i="18" s="1"/>
  <c r="I247" i="18"/>
  <c r="I246" i="18" s="1"/>
  <c r="I245" i="18" s="1"/>
  <c r="I244" i="18" s="1"/>
  <c r="H247" i="18"/>
  <c r="H246" i="18" s="1"/>
  <c r="H245" i="18" s="1"/>
  <c r="H244" i="18" s="1"/>
  <c r="H421" i="7" l="1"/>
  <c r="H420" i="7" s="1"/>
  <c r="H419" i="7"/>
  <c r="H418" i="7" s="1"/>
  <c r="H417" i="7"/>
  <c r="H416" i="7" s="1"/>
  <c r="H406" i="7"/>
  <c r="H405" i="7" s="1"/>
  <c r="H404" i="7" s="1"/>
  <c r="H403" i="7" s="1"/>
  <c r="H460" i="7"/>
  <c r="N156" i="19"/>
  <c r="N155" i="19" s="1"/>
  <c r="N154" i="19" s="1"/>
  <c r="N153" i="19" s="1"/>
  <c r="M156" i="19"/>
  <c r="M155" i="19" s="1"/>
  <c r="M154" i="19" s="1"/>
  <c r="M153" i="19" s="1"/>
  <c r="N109" i="19"/>
  <c r="N108" i="19" s="1"/>
  <c r="N107" i="19" s="1"/>
  <c r="M109" i="19"/>
  <c r="M108" i="19" s="1"/>
  <c r="M107" i="19" s="1"/>
  <c r="N104" i="19"/>
  <c r="M104" i="19"/>
  <c r="L104" i="19" s="1"/>
  <c r="L103" i="19" s="1"/>
  <c r="L102" i="19" s="1"/>
  <c r="L101" i="19" s="1"/>
  <c r="L93" i="19" s="1"/>
  <c r="L92" i="19" s="1"/>
  <c r="L83" i="19" s="1"/>
  <c r="H415" i="7" l="1"/>
  <c r="H411" i="7" s="1"/>
  <c r="N32" i="19" l="1"/>
  <c r="M32" i="19"/>
  <c r="L32" i="19" s="1"/>
  <c r="L30" i="19" s="1"/>
  <c r="L29" i="19" s="1"/>
  <c r="L28" i="19" s="1"/>
  <c r="L27" i="19" s="1"/>
  <c r="L26" i="19" s="1"/>
  <c r="L19" i="19" s="1"/>
  <c r="L18" i="19" s="1"/>
  <c r="M186" i="3"/>
  <c r="M185" i="3" s="1"/>
  <c r="M184" i="3" s="1"/>
  <c r="M176" i="3"/>
  <c r="M178" i="3"/>
  <c r="M180" i="3"/>
  <c r="M190" i="3"/>
  <c r="M189" i="3" s="1"/>
  <c r="M188" i="3" s="1"/>
  <c r="M175" i="3" l="1"/>
  <c r="M183" i="3"/>
  <c r="M182" i="3" s="1"/>
  <c r="M173" i="3" l="1"/>
  <c r="M172" i="3" s="1"/>
  <c r="M174" i="3"/>
  <c r="M171" i="3" l="1"/>
  <c r="M786" i="3"/>
  <c r="H335" i="7"/>
  <c r="D33" i="6" l="1"/>
  <c r="N225" i="19"/>
  <c r="N224" i="19"/>
  <c r="M224" i="19"/>
  <c r="L224" i="19" s="1"/>
  <c r="L223" i="19" s="1"/>
  <c r="L218" i="19" s="1"/>
  <c r="L217" i="19" s="1"/>
  <c r="L212" i="19" s="1"/>
  <c r="L211" i="19" s="1"/>
  <c r="L210" i="19" s="1"/>
  <c r="L209" i="19" s="1"/>
  <c r="I141" i="18" l="1"/>
  <c r="H141" i="18"/>
  <c r="I124" i="18"/>
  <c r="I123" i="18" s="1"/>
  <c r="I122" i="18" s="1"/>
  <c r="H124" i="18"/>
  <c r="H123" i="18" s="1"/>
  <c r="H122" i="18" s="1"/>
  <c r="N451" i="19"/>
  <c r="N450" i="19" s="1"/>
  <c r="N449" i="19" s="1"/>
  <c r="M451" i="19"/>
  <c r="M427" i="19"/>
  <c r="M426" i="19" s="1"/>
  <c r="M425" i="19" s="1"/>
  <c r="M424" i="19" s="1"/>
  <c r="M423" i="19" s="1"/>
  <c r="N433" i="19"/>
  <c r="N432" i="19" s="1"/>
  <c r="N431" i="19" s="1"/>
  <c r="N430" i="19" s="1"/>
  <c r="N429" i="19" s="1"/>
  <c r="M433" i="19"/>
  <c r="M432" i="19" s="1"/>
  <c r="M431" i="19" s="1"/>
  <c r="M430" i="19" s="1"/>
  <c r="M429" i="19" s="1"/>
  <c r="D17" i="9" l="1"/>
  <c r="C17" i="9"/>
  <c r="C25" i="2"/>
  <c r="C16" i="9" l="1"/>
  <c r="D16" i="9" l="1"/>
  <c r="D43" i="16"/>
  <c r="C43" i="16"/>
  <c r="C53" i="2"/>
  <c r="C57" i="2" l="1"/>
  <c r="C46" i="2" s="1"/>
  <c r="C45" i="2" l="1"/>
  <c r="D59" i="6"/>
  <c r="E16" i="8"/>
  <c r="D16" i="8"/>
  <c r="C18" i="8"/>
  <c r="C17" i="8" s="1"/>
  <c r="E14" i="5" l="1"/>
  <c r="D14" i="5"/>
  <c r="N152" i="19" l="1"/>
  <c r="N609" i="19" s="1"/>
  <c r="F35" i="6" s="1"/>
  <c r="M152" i="19"/>
  <c r="M609" i="19" s="1"/>
  <c r="E35" i="6" s="1"/>
  <c r="M615" i="3" l="1"/>
  <c r="M486" i="3" l="1"/>
  <c r="H175" i="7" l="1"/>
  <c r="H26" i="7" l="1"/>
  <c r="H43" i="18"/>
  <c r="M252" i="19"/>
  <c r="M251" i="19" s="1"/>
  <c r="M250" i="19" s="1"/>
  <c r="M249" i="19" s="1"/>
  <c r="M248" i="19" s="1"/>
  <c r="H35" i="7" l="1"/>
  <c r="H34" i="7" s="1"/>
  <c r="N244" i="19" l="1"/>
  <c r="N243" i="19" s="1"/>
  <c r="N242" i="19" s="1"/>
  <c r="N241" i="19" s="1"/>
  <c r="M244" i="19"/>
  <c r="M243" i="19" s="1"/>
  <c r="M242" i="19" s="1"/>
  <c r="M241" i="19" s="1"/>
  <c r="M371" i="3"/>
  <c r="H472" i="7" l="1"/>
  <c r="H168" i="7"/>
  <c r="H167" i="7" s="1"/>
  <c r="M611" i="3" l="1"/>
  <c r="M74" i="3"/>
  <c r="M73" i="3" s="1"/>
  <c r="M736" i="3" l="1"/>
  <c r="N365" i="19" l="1"/>
  <c r="M365" i="19"/>
  <c r="M521" i="3" l="1"/>
  <c r="M511" i="3"/>
  <c r="M28" i="3" l="1"/>
  <c r="H24" i="7" l="1"/>
  <c r="M407" i="3"/>
  <c r="M319" i="3"/>
  <c r="M299" i="3"/>
  <c r="M164" i="3"/>
  <c r="M77" i="3"/>
  <c r="M53" i="3"/>
  <c r="M47" i="3"/>
  <c r="M22" i="3"/>
  <c r="H117" i="7" l="1"/>
  <c r="H116" i="7" s="1"/>
  <c r="M542" i="3"/>
  <c r="M58" i="3" l="1"/>
  <c r="M57" i="3" s="1"/>
  <c r="M69" i="3" l="1"/>
  <c r="H410" i="7" l="1"/>
  <c r="H409" i="7" s="1"/>
  <c r="H408" i="7" s="1"/>
  <c r="H407" i="7" s="1"/>
  <c r="H50" i="7" l="1"/>
  <c r="M323" i="3"/>
  <c r="M117" i="3"/>
  <c r="M789" i="3"/>
  <c r="D35" i="6" s="1"/>
  <c r="I82" i="18" l="1"/>
  <c r="I81" i="18" s="1"/>
  <c r="H82" i="18"/>
  <c r="H81" i="18" s="1"/>
  <c r="H97" i="7" l="1"/>
  <c r="H96" i="7" s="1"/>
  <c r="H126" i="7"/>
  <c r="H125" i="7" s="1"/>
  <c r="M498" i="3"/>
  <c r="H515" i="7" l="1"/>
  <c r="H514" i="7" s="1"/>
  <c r="M169" i="3"/>
  <c r="M163" i="3" s="1"/>
  <c r="H300" i="7"/>
  <c r="H299" i="7" s="1"/>
  <c r="H298" i="7" s="1"/>
  <c r="H297" i="7" s="1"/>
  <c r="M126" i="3"/>
  <c r="M125" i="3" s="1"/>
  <c r="M124" i="3" s="1"/>
  <c r="H170" i="18"/>
  <c r="H169" i="18" s="1"/>
  <c r="H168" i="18" s="1"/>
  <c r="M401" i="3" l="1"/>
  <c r="I170" i="18"/>
  <c r="I169" i="18" s="1"/>
  <c r="I168" i="18" s="1"/>
  <c r="N506" i="19" l="1"/>
  <c r="N505" i="19" s="1"/>
  <c r="M506" i="19"/>
  <c r="M505" i="19" s="1"/>
  <c r="H55" i="7"/>
  <c r="H56" i="7"/>
  <c r="H46" i="18"/>
  <c r="I46" i="18"/>
  <c r="I47" i="18"/>
  <c r="H47" i="18"/>
  <c r="M500" i="19" l="1"/>
  <c r="M499" i="19" s="1"/>
  <c r="M498" i="19" s="1"/>
  <c r="M630" i="19" s="1"/>
  <c r="E52" i="6" s="1"/>
  <c r="N500" i="19"/>
  <c r="N499" i="19" s="1"/>
  <c r="N498" i="19" s="1"/>
  <c r="N630" i="19" s="1"/>
  <c r="F52" i="6" s="1"/>
  <c r="H45" i="18"/>
  <c r="I45" i="18"/>
  <c r="H54" i="7"/>
  <c r="M257" i="3" l="1"/>
  <c r="N323" i="19"/>
  <c r="M323" i="19"/>
  <c r="M457" i="3"/>
  <c r="D20" i="16"/>
  <c r="C20" i="16"/>
  <c r="C16" i="8" l="1"/>
  <c r="I107" i="18" l="1"/>
  <c r="I106" i="18" s="1"/>
  <c r="I105" i="18" s="1"/>
  <c r="H107" i="18"/>
  <c r="H106" i="18" s="1"/>
  <c r="H105" i="18" s="1"/>
  <c r="I110" i="18"/>
  <c r="I109" i="18" s="1"/>
  <c r="I108" i="18" s="1"/>
  <c r="H110" i="18"/>
  <c r="H109" i="18" s="1"/>
  <c r="H108" i="18" s="1"/>
  <c r="I113" i="18"/>
  <c r="I112" i="18" s="1"/>
  <c r="I111" i="18" s="1"/>
  <c r="H113" i="18"/>
  <c r="H112" i="18" s="1"/>
  <c r="H111" i="18" s="1"/>
  <c r="N372" i="19"/>
  <c r="N371" i="19" s="1"/>
  <c r="N370" i="19" s="1"/>
  <c r="N369" i="19" s="1"/>
  <c r="M372" i="19"/>
  <c r="M371" i="19" s="1"/>
  <c r="M370" i="19" s="1"/>
  <c r="M369" i="19" s="1"/>
  <c r="H84" i="18"/>
  <c r="I84" i="18"/>
  <c r="H63" i="18"/>
  <c r="I63" i="18"/>
  <c r="I64" i="18"/>
  <c r="H64" i="18"/>
  <c r="N340" i="19"/>
  <c r="M340" i="19"/>
  <c r="H42" i="18"/>
  <c r="I42" i="18"/>
  <c r="I44" i="18"/>
  <c r="H44" i="18"/>
  <c r="N320" i="19"/>
  <c r="M320" i="19"/>
  <c r="N277" i="19"/>
  <c r="N276" i="19" s="1"/>
  <c r="M277" i="19"/>
  <c r="M276" i="19" s="1"/>
  <c r="N280" i="19"/>
  <c r="N279" i="19" s="1"/>
  <c r="M280" i="19"/>
  <c r="M279" i="19" s="1"/>
  <c r="N283" i="19"/>
  <c r="N282" i="19" s="1"/>
  <c r="M283" i="19"/>
  <c r="M282" i="19" s="1"/>
  <c r="I41" i="18" l="1"/>
  <c r="H41" i="18"/>
  <c r="H62" i="18"/>
  <c r="I62" i="18"/>
  <c r="N275" i="19"/>
  <c r="N274" i="19" s="1"/>
  <c r="N273" i="19" s="1"/>
  <c r="N272" i="19" s="1"/>
  <c r="M275" i="19"/>
  <c r="M274" i="19" s="1"/>
  <c r="M273" i="19" s="1"/>
  <c r="M272" i="19" s="1"/>
  <c r="H131" i="7" l="1"/>
  <c r="H130" i="7" s="1"/>
  <c r="H129" i="7" s="1"/>
  <c r="H134" i="7"/>
  <c r="H133" i="7" s="1"/>
  <c r="H132" i="7" s="1"/>
  <c r="H137" i="7"/>
  <c r="H136" i="7" s="1"/>
  <c r="H135" i="7" s="1"/>
  <c r="M400" i="3"/>
  <c r="M404" i="3"/>
  <c r="M403" i="3" s="1"/>
  <c r="M406" i="3"/>
  <c r="H119" i="7"/>
  <c r="H118" i="7" s="1"/>
  <c r="M544" i="3"/>
  <c r="H128" i="7"/>
  <c r="H127" i="7" s="1"/>
  <c r="H124" i="7" l="1"/>
  <c r="M399" i="3"/>
  <c r="M398" i="3" s="1"/>
  <c r="M397" i="3" s="1"/>
  <c r="M396" i="3" s="1"/>
  <c r="M523" i="3"/>
  <c r="M520" i="3" l="1"/>
  <c r="M519" i="3" s="1"/>
  <c r="M518" i="3" s="1"/>
  <c r="M517" i="3" s="1"/>
  <c r="I192" i="18"/>
  <c r="I191" i="18" s="1"/>
  <c r="I190" i="18" s="1"/>
  <c r="H192" i="18"/>
  <c r="H191" i="18" s="1"/>
  <c r="H190" i="18" s="1"/>
  <c r="I187" i="18"/>
  <c r="I186" i="18" s="1"/>
  <c r="H187" i="18"/>
  <c r="H186" i="18" s="1"/>
  <c r="N494" i="19"/>
  <c r="M494" i="19"/>
  <c r="N492" i="19"/>
  <c r="M492" i="19"/>
  <c r="N475" i="19"/>
  <c r="N474" i="19" s="1"/>
  <c r="N473" i="19" s="1"/>
  <c r="N472" i="19" s="1"/>
  <c r="N471" i="19" s="1"/>
  <c r="N470" i="19" s="1"/>
  <c r="M475" i="19"/>
  <c r="M474" i="19" s="1"/>
  <c r="M473" i="19" s="1"/>
  <c r="M472" i="19" s="1"/>
  <c r="M471" i="19" s="1"/>
  <c r="M470" i="19" s="1"/>
  <c r="H238" i="7"/>
  <c r="H237" i="7" s="1"/>
  <c r="H236" i="7" s="1"/>
  <c r="H228" i="7"/>
  <c r="H227" i="7" s="1"/>
  <c r="H226" i="7" s="1"/>
  <c r="I142" i="18" l="1"/>
  <c r="I140" i="18" s="1"/>
  <c r="H142" i="18"/>
  <c r="H140" i="18" s="1"/>
  <c r="I137" i="18"/>
  <c r="N427" i="19"/>
  <c r="I136" i="18" s="1"/>
  <c r="I121" i="18"/>
  <c r="H121" i="18"/>
  <c r="N421" i="19"/>
  <c r="I120" i="18" s="1"/>
  <c r="M421" i="19"/>
  <c r="H120" i="18" s="1"/>
  <c r="I157" i="18"/>
  <c r="I156" i="18" s="1"/>
  <c r="I155" i="18" s="1"/>
  <c r="H157" i="18"/>
  <c r="H156" i="18" s="1"/>
  <c r="H155" i="18" s="1"/>
  <c r="N412" i="19"/>
  <c r="N411" i="19" s="1"/>
  <c r="N410" i="19" s="1"/>
  <c r="M412" i="19"/>
  <c r="M411" i="19" s="1"/>
  <c r="M410" i="19" s="1"/>
  <c r="I367" i="18"/>
  <c r="I366" i="18" s="1"/>
  <c r="I365" i="18" s="1"/>
  <c r="I364" i="18" s="1"/>
  <c r="I363" i="18" s="1"/>
  <c r="H367" i="18"/>
  <c r="H366" i="18" s="1"/>
  <c r="H365" i="18" s="1"/>
  <c r="H364" i="18" s="1"/>
  <c r="H363" i="18" s="1"/>
  <c r="N169" i="19"/>
  <c r="N168" i="19" s="1"/>
  <c r="N167" i="19" s="1"/>
  <c r="N166" i="19" s="1"/>
  <c r="N165" i="19" s="1"/>
  <c r="M169" i="19"/>
  <c r="M168" i="19" s="1"/>
  <c r="M167" i="19" s="1"/>
  <c r="M166" i="19" s="1"/>
  <c r="M165" i="19" s="1"/>
  <c r="I359" i="18"/>
  <c r="I358" i="18" s="1"/>
  <c r="H359" i="18"/>
  <c r="H358" i="18" s="1"/>
  <c r="N140" i="19"/>
  <c r="M140" i="19"/>
  <c r="I349" i="18"/>
  <c r="I348" i="18" s="1"/>
  <c r="I347" i="18" s="1"/>
  <c r="I346" i="18" s="1"/>
  <c r="H349" i="18"/>
  <c r="H348" i="18" s="1"/>
  <c r="H347" i="18" s="1"/>
  <c r="H346" i="18" s="1"/>
  <c r="N131" i="19"/>
  <c r="N130" i="19" s="1"/>
  <c r="N129" i="19" s="1"/>
  <c r="M131" i="19"/>
  <c r="M130" i="19" s="1"/>
  <c r="M129" i="19" s="1"/>
  <c r="I237" i="18"/>
  <c r="I236" i="18" s="1"/>
  <c r="I235" i="18" s="1"/>
  <c r="H237" i="18"/>
  <c r="H236" i="18" s="1"/>
  <c r="H235" i="18" s="1"/>
  <c r="I231" i="18"/>
  <c r="I230" i="18" s="1"/>
  <c r="H231" i="18"/>
  <c r="H230" i="18" s="1"/>
  <c r="N99" i="19"/>
  <c r="N98" i="19" s="1"/>
  <c r="M99" i="19"/>
  <c r="M98" i="19" s="1"/>
  <c r="N96" i="19"/>
  <c r="N95" i="19" s="1"/>
  <c r="M96" i="19"/>
  <c r="M95" i="19" s="1"/>
  <c r="I416" i="18"/>
  <c r="I415" i="18" s="1"/>
  <c r="I414" i="18" s="1"/>
  <c r="H416" i="18"/>
  <c r="H415" i="18" s="1"/>
  <c r="H414" i="18" s="1"/>
  <c r="I419" i="18"/>
  <c r="I418" i="18" s="1"/>
  <c r="I417" i="18" s="1"/>
  <c r="H419" i="18"/>
  <c r="H418" i="18" s="1"/>
  <c r="H417" i="18" s="1"/>
  <c r="I403" i="18"/>
  <c r="H403" i="18"/>
  <c r="H397" i="18"/>
  <c r="I397" i="18"/>
  <c r="I398" i="18"/>
  <c r="H398" i="18"/>
  <c r="I401" i="18"/>
  <c r="I400" i="18" s="1"/>
  <c r="H401" i="18"/>
  <c r="H400" i="18" s="1"/>
  <c r="N81" i="19"/>
  <c r="N80" i="19" s="1"/>
  <c r="M81" i="19"/>
  <c r="M80" i="19" s="1"/>
  <c r="N78" i="19"/>
  <c r="N77" i="19" s="1"/>
  <c r="M78" i="19"/>
  <c r="M77" i="19" s="1"/>
  <c r="N75" i="19"/>
  <c r="I402" i="18" s="1"/>
  <c r="M75" i="19"/>
  <c r="M73" i="19"/>
  <c r="N73" i="19"/>
  <c r="N69" i="19"/>
  <c r="N68" i="19" s="1"/>
  <c r="M69" i="19"/>
  <c r="M68" i="19" s="1"/>
  <c r="N64" i="19"/>
  <c r="N63" i="19" s="1"/>
  <c r="N62" i="19" s="1"/>
  <c r="N61" i="19" s="1"/>
  <c r="M64" i="19"/>
  <c r="M63" i="19" s="1"/>
  <c r="M62" i="19" s="1"/>
  <c r="M61" i="19" s="1"/>
  <c r="I387" i="18"/>
  <c r="H387" i="18"/>
  <c r="N38" i="19"/>
  <c r="M38" i="19"/>
  <c r="M409" i="19" l="1"/>
  <c r="M408" i="19" s="1"/>
  <c r="M407" i="19" s="1"/>
  <c r="N409" i="19"/>
  <c r="N408" i="19" s="1"/>
  <c r="N407" i="19" s="1"/>
  <c r="H137" i="18"/>
  <c r="H136" i="18"/>
  <c r="N426" i="19"/>
  <c r="N425" i="19" s="1"/>
  <c r="N424" i="19" s="1"/>
  <c r="N423" i="19" s="1"/>
  <c r="N94" i="19"/>
  <c r="M94" i="19"/>
  <c r="N72" i="19"/>
  <c r="N67" i="19" s="1"/>
  <c r="N66" i="19" s="1"/>
  <c r="N60" i="19" s="1"/>
  <c r="M72" i="19"/>
  <c r="M67" i="19" s="1"/>
  <c r="M66" i="19" s="1"/>
  <c r="M60" i="19" s="1"/>
  <c r="I399" i="18"/>
  <c r="H402" i="18"/>
  <c r="H399" i="18" s="1"/>
  <c r="H396" i="18"/>
  <c r="I396" i="18"/>
  <c r="M656" i="3"/>
  <c r="M645" i="3"/>
  <c r="M644" i="3" s="1"/>
  <c r="M643" i="3" s="1"/>
  <c r="M642" i="3" s="1"/>
  <c r="M641" i="3" s="1"/>
  <c r="M640" i="3" s="1"/>
  <c r="I135" i="18" l="1"/>
  <c r="H518" i="7"/>
  <c r="H517" i="7" s="1"/>
  <c r="H516" i="7" s="1"/>
  <c r="H521" i="7"/>
  <c r="H520" i="7" s="1"/>
  <c r="H519" i="7" s="1"/>
  <c r="M86" i="3"/>
  <c r="M85" i="3" s="1"/>
  <c r="M89" i="3"/>
  <c r="M88" i="3" s="1"/>
  <c r="H495" i="7"/>
  <c r="H135" i="18" l="1"/>
  <c r="I282" i="18"/>
  <c r="I281" i="18" s="1"/>
  <c r="H282" i="18"/>
  <c r="H281" i="18" s="1"/>
  <c r="I285" i="18"/>
  <c r="I284" i="18" s="1"/>
  <c r="I283" i="18" s="1"/>
  <c r="H285" i="18"/>
  <c r="H284" i="18" s="1"/>
  <c r="H283" i="18" s="1"/>
  <c r="I288" i="18"/>
  <c r="I287" i="18" s="1"/>
  <c r="I286" i="18" s="1"/>
  <c r="H288" i="18"/>
  <c r="H287" i="18" s="1"/>
  <c r="H286" i="18" s="1"/>
  <c r="N233" i="19"/>
  <c r="N232" i="19" s="1"/>
  <c r="M233" i="19"/>
  <c r="M232" i="19" s="1"/>
  <c r="N230" i="19"/>
  <c r="N229" i="19" s="1"/>
  <c r="M230" i="19"/>
  <c r="M229" i="19" s="1"/>
  <c r="N227" i="19"/>
  <c r="M227" i="19"/>
  <c r="M333" i="3"/>
  <c r="H145" i="7" l="1"/>
  <c r="H144" i="7" s="1"/>
  <c r="M575" i="3"/>
  <c r="H190" i="7" l="1"/>
  <c r="H189" i="7" s="1"/>
  <c r="H171" i="7"/>
  <c r="H170" i="7" s="1"/>
  <c r="H169" i="7" s="1"/>
  <c r="I204" i="18"/>
  <c r="H204" i="18"/>
  <c r="H195" i="7"/>
  <c r="H194" i="7" s="1"/>
  <c r="H193" i="7" s="1"/>
  <c r="I213" i="18"/>
  <c r="I212" i="18" s="1"/>
  <c r="I211" i="18" s="1"/>
  <c r="H213" i="18"/>
  <c r="H212" i="18" s="1"/>
  <c r="H211" i="18" s="1"/>
  <c r="I216" i="18"/>
  <c r="I215" i="18" s="1"/>
  <c r="I214" i="18" s="1"/>
  <c r="H216" i="18"/>
  <c r="H215" i="18" s="1"/>
  <c r="H214" i="18" s="1"/>
  <c r="I219" i="18"/>
  <c r="I218" i="18" s="1"/>
  <c r="I217" i="18" s="1"/>
  <c r="H219" i="18"/>
  <c r="H218" i="18" s="1"/>
  <c r="H217" i="18" s="1"/>
  <c r="H257" i="7"/>
  <c r="H256" i="7" s="1"/>
  <c r="H255" i="7" s="1"/>
  <c r="H260" i="7"/>
  <c r="H259" i="7" s="1"/>
  <c r="H258" i="7" s="1"/>
  <c r="H263" i="7"/>
  <c r="H262" i="7" s="1"/>
  <c r="H261" i="7" s="1"/>
  <c r="N536" i="19" l="1"/>
  <c r="M536" i="19"/>
  <c r="N529" i="19"/>
  <c r="N528" i="19" s="1"/>
  <c r="M529" i="19"/>
  <c r="M528" i="19" s="1"/>
  <c r="N526" i="19"/>
  <c r="N525" i="19" s="1"/>
  <c r="M526" i="19"/>
  <c r="M525" i="19" s="1"/>
  <c r="N523" i="19"/>
  <c r="N522" i="19" s="1"/>
  <c r="M523" i="19"/>
  <c r="M522" i="19" s="1"/>
  <c r="M708" i="3"/>
  <c r="M707" i="3" s="1"/>
  <c r="M705" i="3"/>
  <c r="M704" i="3" s="1"/>
  <c r="M702" i="3"/>
  <c r="M701" i="3" s="1"/>
  <c r="N521" i="19" l="1"/>
  <c r="N520" i="19" s="1"/>
  <c r="N519" i="19" s="1"/>
  <c r="N518" i="19" s="1"/>
  <c r="M521" i="19"/>
  <c r="M520" i="19" s="1"/>
  <c r="M519" i="19" s="1"/>
  <c r="M518" i="19" s="1"/>
  <c r="M700" i="3"/>
  <c r="M699" i="3" s="1"/>
  <c r="M698" i="3" s="1"/>
  <c r="M697" i="3" s="1"/>
  <c r="N204" i="19"/>
  <c r="N203" i="19" s="1"/>
  <c r="M204" i="19"/>
  <c r="M203" i="19" s="1"/>
  <c r="M636" i="3"/>
  <c r="M583" i="3" l="1"/>
  <c r="M582" i="3" s="1"/>
  <c r="M581" i="3" s="1"/>
  <c r="M580" i="3" s="1"/>
  <c r="M579" i="3" s="1"/>
  <c r="M566" i="3"/>
  <c r="M565" i="3" s="1"/>
  <c r="M559" i="3" l="1"/>
  <c r="M558" i="3" s="1"/>
  <c r="M560" i="3"/>
  <c r="I264" i="18" l="1"/>
  <c r="I263" i="18" s="1"/>
  <c r="I262" i="18" s="1"/>
  <c r="H264" i="18"/>
  <c r="H263" i="18" s="1"/>
  <c r="H262" i="18" s="1"/>
  <c r="I261" i="18"/>
  <c r="I260" i="18" s="1"/>
  <c r="I259" i="18" s="1"/>
  <c r="H261" i="18"/>
  <c r="H260" i="18" s="1"/>
  <c r="H259" i="18" s="1"/>
  <c r="N189" i="19"/>
  <c r="N188" i="19" s="1"/>
  <c r="M189" i="19"/>
  <c r="M188" i="19" s="1"/>
  <c r="H324" i="7"/>
  <c r="H323" i="7" s="1"/>
  <c r="H322" i="7" s="1"/>
  <c r="M271" i="3"/>
  <c r="M270" i="3" s="1"/>
  <c r="N186" i="19" l="1"/>
  <c r="N185" i="19" s="1"/>
  <c r="N184" i="19" s="1"/>
  <c r="N183" i="19" s="1"/>
  <c r="N182" i="19" s="1"/>
  <c r="M186" i="19"/>
  <c r="M185" i="19" s="1"/>
  <c r="M184" i="19" s="1"/>
  <c r="M183" i="19" l="1"/>
  <c r="M182" i="19" s="1"/>
  <c r="M589" i="3" l="1"/>
  <c r="M588" i="3" s="1"/>
  <c r="M587" i="3" s="1"/>
  <c r="M586" i="3" s="1"/>
  <c r="M585" i="3" s="1"/>
  <c r="M574" i="19" l="1"/>
  <c r="D22" i="16" l="1"/>
  <c r="C22" i="16"/>
  <c r="M21" i="3" l="1"/>
  <c r="M20" i="3" s="1"/>
  <c r="M19" i="3" s="1"/>
  <c r="M18" i="3" s="1"/>
  <c r="M34" i="3"/>
  <c r="M36" i="3"/>
  <c r="M41" i="3"/>
  <c r="M46" i="3"/>
  <c r="M52" i="3"/>
  <c r="M51" i="3" s="1"/>
  <c r="M50" i="3" s="1"/>
  <c r="M49" i="3" s="1"/>
  <c r="M771" i="3" s="1"/>
  <c r="M56" i="3"/>
  <c r="M55" i="3" s="1"/>
  <c r="M68" i="3"/>
  <c r="M67" i="3" s="1"/>
  <c r="M66" i="3" s="1"/>
  <c r="M76" i="3"/>
  <c r="M81" i="3"/>
  <c r="M83" i="3"/>
  <c r="M96" i="3"/>
  <c r="M98" i="3"/>
  <c r="M100" i="3"/>
  <c r="M102" i="3"/>
  <c r="M108" i="3"/>
  <c r="M110" i="3"/>
  <c r="M113" i="3"/>
  <c r="M112" i="3" s="1"/>
  <c r="M133" i="3"/>
  <c r="M132" i="3" s="1"/>
  <c r="M136" i="3"/>
  <c r="M135" i="3" s="1"/>
  <c r="M142" i="3"/>
  <c r="M141" i="3" s="1"/>
  <c r="M140" i="3" s="1"/>
  <c r="M139" i="3" s="1"/>
  <c r="M138" i="3" s="1"/>
  <c r="M782" i="3" s="1"/>
  <c r="M148" i="3"/>
  <c r="M147" i="3" s="1"/>
  <c r="M146" i="3" s="1"/>
  <c r="M152" i="3"/>
  <c r="M151" i="3" s="1"/>
  <c r="M150" i="3" s="1"/>
  <c r="M157" i="3"/>
  <c r="M159" i="3"/>
  <c r="M204" i="3"/>
  <c r="M203" i="3" s="1"/>
  <c r="M202" i="3" s="1"/>
  <c r="M201" i="3" s="1"/>
  <c r="M200" i="3" s="1"/>
  <c r="M210" i="3"/>
  <c r="M209" i="3" s="1"/>
  <c r="M208" i="3" s="1"/>
  <c r="M207" i="3" s="1"/>
  <c r="M206" i="3" s="1"/>
  <c r="M256" i="3"/>
  <c r="M262" i="3"/>
  <c r="M261" i="3" s="1"/>
  <c r="M268" i="3"/>
  <c r="M267" i="3" s="1"/>
  <c r="M266" i="3" s="1"/>
  <c r="M285" i="3"/>
  <c r="M284" i="3" s="1"/>
  <c r="M283" i="3" s="1"/>
  <c r="M282" i="3" s="1"/>
  <c r="M281" i="3" s="1"/>
  <c r="M280" i="3" s="1"/>
  <c r="M303" i="3"/>
  <c r="M298" i="3" s="1"/>
  <c r="M312" i="3"/>
  <c r="M311" i="3" s="1"/>
  <c r="M327" i="3"/>
  <c r="M318" i="3" s="1"/>
  <c r="M330" i="3"/>
  <c r="M329" i="3" s="1"/>
  <c r="M344" i="3"/>
  <c r="M343" i="3" s="1"/>
  <c r="M342" i="3" s="1"/>
  <c r="M353" i="3"/>
  <c r="M352" i="3" s="1"/>
  <c r="M351" i="3" s="1"/>
  <c r="M350" i="3" s="1"/>
  <c r="M349" i="3" s="1"/>
  <c r="M348" i="3" s="1"/>
  <c r="M362" i="3"/>
  <c r="M359" i="3" s="1"/>
  <c r="M369" i="3"/>
  <c r="M377" i="3"/>
  <c r="M376" i="3" s="1"/>
  <c r="M375" i="3" s="1"/>
  <c r="M374" i="3" s="1"/>
  <c r="M373" i="3" s="1"/>
  <c r="M390" i="3"/>
  <c r="M389" i="3" s="1"/>
  <c r="M414" i="3"/>
  <c r="M416" i="3"/>
  <c r="M418" i="3"/>
  <c r="M422" i="3"/>
  <c r="M424" i="3"/>
  <c r="M434" i="3"/>
  <c r="M433" i="3" s="1"/>
  <c r="M460" i="3"/>
  <c r="M503" i="3"/>
  <c r="M513" i="3"/>
  <c r="M573" i="3"/>
  <c r="M577" i="3"/>
  <c r="M596" i="3"/>
  <c r="M598" i="3"/>
  <c r="M600" i="3"/>
  <c r="M660" i="3"/>
  <c r="M662" i="3"/>
  <c r="M664" i="3"/>
  <c r="M666" i="3"/>
  <c r="M684" i="3"/>
  <c r="M683" i="3" s="1"/>
  <c r="M682" i="3" s="1"/>
  <c r="M691" i="3"/>
  <c r="M690" i="3" s="1"/>
  <c r="M689" i="3" s="1"/>
  <c r="M688" i="3" s="1"/>
  <c r="M687" i="3" s="1"/>
  <c r="M812" i="3" s="1"/>
  <c r="M725" i="3"/>
  <c r="M724" i="3" s="1"/>
  <c r="M723" i="3" s="1"/>
  <c r="M722" i="3" s="1"/>
  <c r="M721" i="3" s="1"/>
  <c r="M745" i="3"/>
  <c r="M735" i="3" s="1"/>
  <c r="M24" i="19"/>
  <c r="M23" i="19" s="1"/>
  <c r="M22" i="19" s="1"/>
  <c r="M21" i="19" s="1"/>
  <c r="M20" i="19" s="1"/>
  <c r="M30" i="19"/>
  <c r="M34" i="19"/>
  <c r="M36" i="19"/>
  <c r="M41" i="19"/>
  <c r="M47" i="19"/>
  <c r="M46" i="19" s="1"/>
  <c r="M53" i="19"/>
  <c r="M52" i="19" s="1"/>
  <c r="M51" i="19" s="1"/>
  <c r="M50" i="19" s="1"/>
  <c r="M49" i="19" s="1"/>
  <c r="M592" i="19" s="1"/>
  <c r="E21" i="6" s="1"/>
  <c r="M88" i="19"/>
  <c r="M90" i="19"/>
  <c r="M116" i="19"/>
  <c r="M115" i="19" s="1"/>
  <c r="M119" i="19"/>
  <c r="M118" i="19" s="1"/>
  <c r="M125" i="19"/>
  <c r="M124" i="19" s="1"/>
  <c r="M123" i="19" s="1"/>
  <c r="M122" i="19" s="1"/>
  <c r="M121" i="19" s="1"/>
  <c r="M603" i="19" s="1"/>
  <c r="E30" i="6" s="1"/>
  <c r="M135" i="19"/>
  <c r="M134" i="19" s="1"/>
  <c r="M133" i="19" s="1"/>
  <c r="M128" i="19" s="1"/>
  <c r="M142" i="19"/>
  <c r="M163" i="19"/>
  <c r="M162" i="19" s="1"/>
  <c r="M161" i="19" s="1"/>
  <c r="M160" i="19" s="1"/>
  <c r="M159" i="19" s="1"/>
  <c r="M158" i="19" s="1"/>
  <c r="M178" i="19"/>
  <c r="M177" i="19" s="1"/>
  <c r="M176" i="19" s="1"/>
  <c r="M175" i="19" s="1"/>
  <c r="M174" i="19" s="1"/>
  <c r="M173" i="19" s="1"/>
  <c r="M196" i="19"/>
  <c r="M195" i="19" s="1"/>
  <c r="M194" i="19" s="1"/>
  <c r="M193" i="19" s="1"/>
  <c r="M192" i="19" s="1"/>
  <c r="M215" i="19"/>
  <c r="M214" i="19" s="1"/>
  <c r="M219" i="19"/>
  <c r="M223" i="19"/>
  <c r="M237" i="19"/>
  <c r="M236" i="19" s="1"/>
  <c r="M235" i="19" s="1"/>
  <c r="M259" i="19"/>
  <c r="M258" i="19" s="1"/>
  <c r="M290" i="19"/>
  <c r="M294" i="19"/>
  <c r="M296" i="19"/>
  <c r="M301" i="19"/>
  <c r="M300" i="19" s="1"/>
  <c r="M299" i="19" s="1"/>
  <c r="M298" i="19" s="1"/>
  <c r="M312" i="19"/>
  <c r="M326" i="19"/>
  <c r="M330" i="19"/>
  <c r="M334" i="19"/>
  <c r="M350" i="19"/>
  <c r="M349" i="19" s="1"/>
  <c r="M367" i="19"/>
  <c r="M376" i="19"/>
  <c r="M375" i="19" s="1"/>
  <c r="M374" i="19" s="1"/>
  <c r="M386" i="19"/>
  <c r="M402" i="19"/>
  <c r="M401" i="19" s="1"/>
  <c r="M400" i="19" s="1"/>
  <c r="M399" i="19" s="1"/>
  <c r="M398" i="19" s="1"/>
  <c r="M397" i="19" s="1"/>
  <c r="M419" i="19"/>
  <c r="M440" i="19"/>
  <c r="M439" i="19" s="1"/>
  <c r="M443" i="19"/>
  <c r="M442" i="19" s="1"/>
  <c r="M454" i="19"/>
  <c r="M460" i="19"/>
  <c r="M464" i="19"/>
  <c r="M482" i="19"/>
  <c r="M481" i="19" s="1"/>
  <c r="M480" i="19" s="1"/>
  <c r="M486" i="19"/>
  <c r="M485" i="19" s="1"/>
  <c r="M512" i="19"/>
  <c r="M511" i="19" s="1"/>
  <c r="M510" i="19" s="1"/>
  <c r="M509" i="19" s="1"/>
  <c r="M508" i="19" s="1"/>
  <c r="M535" i="19"/>
  <c r="M534" i="19" s="1"/>
  <c r="M533" i="19" s="1"/>
  <c r="M532" i="19" s="1"/>
  <c r="M544" i="19"/>
  <c r="M543" i="19" s="1"/>
  <c r="M542" i="19" s="1"/>
  <c r="M541" i="19" s="1"/>
  <c r="M540" i="19" s="1"/>
  <c r="M555" i="19"/>
  <c r="M564" i="19"/>
  <c r="M580" i="19"/>
  <c r="M640" i="19" s="1"/>
  <c r="E60" i="6" s="1"/>
  <c r="E59" i="6" s="1"/>
  <c r="M497" i="3" l="1"/>
  <c r="M496" i="3" s="1"/>
  <c r="M655" i="3"/>
  <c r="M654" i="3" s="1"/>
  <c r="M595" i="3"/>
  <c r="M29" i="19"/>
  <c r="M28" i="19" s="1"/>
  <c r="M27" i="19" s="1"/>
  <c r="M26" i="19" s="1"/>
  <c r="M591" i="19" s="1"/>
  <c r="E20" i="6" s="1"/>
  <c r="M311" i="19"/>
  <c r="M769" i="3"/>
  <c r="M87" i="19"/>
  <c r="M86" i="19" s="1"/>
  <c r="M85" i="19" s="1"/>
  <c r="M84" i="19" s="1"/>
  <c r="M413" i="3"/>
  <c r="M289" i="19"/>
  <c r="M288" i="19" s="1"/>
  <c r="M199" i="3"/>
  <c r="M616" i="19"/>
  <c r="E41" i="6" s="1"/>
  <c r="M368" i="3"/>
  <c r="M367" i="3" s="1"/>
  <c r="M366" i="3" s="1"/>
  <c r="M365" i="3" s="1"/>
  <c r="M364" i="3" s="1"/>
  <c r="M432" i="3"/>
  <c r="M431" i="3" s="1"/>
  <c r="M162" i="3"/>
  <c r="M161" i="3" s="1"/>
  <c r="M631" i="19"/>
  <c r="E53" i="6" s="1"/>
  <c r="M450" i="19"/>
  <c r="M449" i="19" s="1"/>
  <c r="L449" i="19" s="1"/>
  <c r="L437" i="19" s="1"/>
  <c r="L436" i="19" s="1"/>
  <c r="L435" i="19" s="1"/>
  <c r="L406" i="19" s="1"/>
  <c r="L16" i="19" s="1"/>
  <c r="M418" i="19"/>
  <c r="M417" i="19" s="1"/>
  <c r="M416" i="19" s="1"/>
  <c r="M139" i="19"/>
  <c r="M138" i="19" s="1"/>
  <c r="M137" i="19" s="1"/>
  <c r="M218" i="19"/>
  <c r="M217" i="19" s="1"/>
  <c r="M804" i="3"/>
  <c r="M773" i="3"/>
  <c r="M572" i="3"/>
  <c r="M265" i="3"/>
  <c r="M264" i="3" s="1"/>
  <c r="M484" i="19"/>
  <c r="M479" i="19" s="1"/>
  <c r="M478" i="19" s="1"/>
  <c r="M629" i="19" s="1"/>
  <c r="M438" i="19"/>
  <c r="M818" i="3"/>
  <c r="M821" i="3" s="1"/>
  <c r="M95" i="3"/>
  <c r="M94" i="3" s="1"/>
  <c r="M93" i="3" s="1"/>
  <c r="M92" i="3" s="1"/>
  <c r="M570" i="19"/>
  <c r="M569" i="19" s="1"/>
  <c r="M568" i="19" s="1"/>
  <c r="M567" i="19" s="1"/>
  <c r="M626" i="19" s="1"/>
  <c r="E49" i="6" s="1"/>
  <c r="M554" i="19"/>
  <c r="M553" i="19" s="1"/>
  <c r="M552" i="19" s="1"/>
  <c r="M551" i="19" s="1"/>
  <c r="M257" i="19"/>
  <c r="M256" i="19" s="1"/>
  <c r="M255" i="19" s="1"/>
  <c r="M254" i="19" s="1"/>
  <c r="M213" i="19"/>
  <c r="M202" i="19"/>
  <c r="M201" i="19" s="1"/>
  <c r="M200" i="19" s="1"/>
  <c r="M199" i="19" s="1"/>
  <c r="M388" i="3"/>
  <c r="M387" i="3" s="1"/>
  <c r="M386" i="3" s="1"/>
  <c r="M385" i="3" s="1"/>
  <c r="M332" i="3"/>
  <c r="M734" i="3"/>
  <c r="M750" i="3"/>
  <c r="M749" i="3" s="1"/>
  <c r="M748" i="3" s="1"/>
  <c r="M553" i="3"/>
  <c r="M552" i="3" s="1"/>
  <c r="M551" i="3" s="1"/>
  <c r="M550" i="3" s="1"/>
  <c r="M549" i="3" s="1"/>
  <c r="M548" i="3" s="1"/>
  <c r="M297" i="3"/>
  <c r="M296" i="3" s="1"/>
  <c r="M295" i="3" s="1"/>
  <c r="M294" i="3" s="1"/>
  <c r="M156" i="3"/>
  <c r="M155" i="3" s="1"/>
  <c r="M154" i="3" s="1"/>
  <c r="M131" i="3"/>
  <c r="M130" i="3" s="1"/>
  <c r="M129" i="3" s="1"/>
  <c r="M781" i="3" s="1"/>
  <c r="M107" i="3"/>
  <c r="M106" i="3" s="1"/>
  <c r="M719" i="3"/>
  <c r="M715" i="3"/>
  <c r="M605" i="3"/>
  <c r="M604" i="3" s="1"/>
  <c r="M445" i="3"/>
  <c r="M314" i="3"/>
  <c r="M310" i="3" s="1"/>
  <c r="M681" i="3"/>
  <c r="M811" i="3" s="1"/>
  <c r="M652" i="3"/>
  <c r="M651" i="3" s="1"/>
  <c r="M650" i="3" s="1"/>
  <c r="M632" i="3"/>
  <c r="M628" i="3"/>
  <c r="M624" i="3"/>
  <c r="M623" i="3" s="1"/>
  <c r="M622" i="3" s="1"/>
  <c r="M618" i="3"/>
  <c r="M537" i="3"/>
  <c r="M533" i="3"/>
  <c r="M529" i="3"/>
  <c r="M528" i="3" s="1"/>
  <c r="M527" i="3" s="1"/>
  <c r="M485" i="3"/>
  <c r="M484" i="3" s="1"/>
  <c r="M468" i="3"/>
  <c r="M464" i="3"/>
  <c r="M448" i="3"/>
  <c r="M440" i="3"/>
  <c r="M358" i="3"/>
  <c r="M255" i="3"/>
  <c r="M254" i="3" s="1"/>
  <c r="M253" i="3" s="1"/>
  <c r="M217" i="3"/>
  <c r="M216" i="3" s="1"/>
  <c r="M215" i="3" s="1"/>
  <c r="M214" i="3" s="1"/>
  <c r="M213" i="3" s="1"/>
  <c r="M145" i="3"/>
  <c r="M116" i="3"/>
  <c r="M115" i="3" s="1"/>
  <c r="M80" i="3"/>
  <c r="M72" i="3" s="1"/>
  <c r="M38" i="3"/>
  <c r="M27" i="3" s="1"/>
  <c r="M191" i="19"/>
  <c r="M172" i="19" s="1"/>
  <c r="M637" i="19"/>
  <c r="M624" i="19"/>
  <c r="E47" i="6" s="1"/>
  <c r="M531" i="19"/>
  <c r="M517" i="19" s="1"/>
  <c r="M590" i="19"/>
  <c r="E19" i="6" s="1"/>
  <c r="M147" i="19"/>
  <c r="M459" i="19"/>
  <c r="M458" i="19" s="1"/>
  <c r="M457" i="19" s="1"/>
  <c r="M456" i="19" s="1"/>
  <c r="M621" i="19" s="1"/>
  <c r="E45" i="6" s="1"/>
  <c r="M390" i="19"/>
  <c r="M385" i="19" s="1"/>
  <c r="M384" i="19" s="1"/>
  <c r="M383" i="19" s="1"/>
  <c r="M382" i="19" s="1"/>
  <c r="M357" i="19"/>
  <c r="M356" i="19" s="1"/>
  <c r="M58" i="19"/>
  <c r="M57" i="19" s="1"/>
  <c r="M56" i="19" s="1"/>
  <c r="M55" i="19" s="1"/>
  <c r="M594" i="19" s="1"/>
  <c r="E23" i="6" s="1"/>
  <c r="M114" i="19"/>
  <c r="M113" i="19" s="1"/>
  <c r="M112" i="19" s="1"/>
  <c r="M103" i="19"/>
  <c r="M102" i="19" s="1"/>
  <c r="M101" i="19" s="1"/>
  <c r="M93" i="19" s="1"/>
  <c r="M439" i="3" l="1"/>
  <c r="M438" i="3" s="1"/>
  <c r="M437" i="3" s="1"/>
  <c r="M436" i="3" s="1"/>
  <c r="M649" i="3"/>
  <c r="M648" i="3" s="1"/>
  <c r="M810" i="3" s="1"/>
  <c r="M437" i="19"/>
  <c r="M436" i="19" s="1"/>
  <c r="M357" i="3"/>
  <c r="M356" i="3" s="1"/>
  <c r="M146" i="19"/>
  <c r="M145" i="19" s="1"/>
  <c r="M144" i="19" s="1"/>
  <c r="M127" i="19" s="1"/>
  <c r="M604" i="19" s="1"/>
  <c r="E31" i="6" s="1"/>
  <c r="M412" i="3"/>
  <c r="M411" i="3" s="1"/>
  <c r="M410" i="3" s="1"/>
  <c r="M792" i="3" s="1"/>
  <c r="M598" i="19"/>
  <c r="E26" i="6" s="1"/>
  <c r="M617" i="19"/>
  <c r="E42" i="6" s="1"/>
  <c r="M635" i="19"/>
  <c r="E54" i="6"/>
  <c r="M638" i="19"/>
  <c r="E57" i="6"/>
  <c r="E56" i="6" s="1"/>
  <c r="M310" i="19"/>
  <c r="M309" i="19" s="1"/>
  <c r="M532" i="3"/>
  <c r="M531" i="3" s="1"/>
  <c r="M526" i="3" s="1"/>
  <c r="M525" i="3" s="1"/>
  <c r="M477" i="19"/>
  <c r="M469" i="19" s="1"/>
  <c r="M733" i="3"/>
  <c r="M732" i="3" s="1"/>
  <c r="M105" i="3"/>
  <c r="M355" i="19"/>
  <c r="M354" i="19" s="1"/>
  <c r="M353" i="19" s="1"/>
  <c r="M287" i="19"/>
  <c r="M415" i="19"/>
  <c r="M414" i="19" s="1"/>
  <c r="M92" i="19"/>
  <c r="M83" i="19" s="1"/>
  <c r="M19" i="19"/>
  <c r="M571" i="3"/>
  <c r="M570" i="3" s="1"/>
  <c r="M569" i="3" s="1"/>
  <c r="M568" i="3" s="1"/>
  <c r="M594" i="3"/>
  <c r="M627" i="3"/>
  <c r="M626" i="3" s="1"/>
  <c r="M621" i="3" s="1"/>
  <c r="M620" i="3" s="1"/>
  <c r="M801" i="3" s="1"/>
  <c r="M212" i="19"/>
  <c r="M211" i="19" s="1"/>
  <c r="M595" i="19" s="1"/>
  <c r="E24" i="6" s="1"/>
  <c r="M625" i="19"/>
  <c r="M550" i="19"/>
  <c r="M549" i="19" s="1"/>
  <c r="M593" i="19"/>
  <c r="E22" i="6" s="1"/>
  <c r="M144" i="3"/>
  <c r="M783" i="3" s="1"/>
  <c r="M784" i="3" s="1"/>
  <c r="M777" i="3"/>
  <c r="M71" i="3"/>
  <c r="M60" i="3" s="1"/>
  <c r="M317" i="3"/>
  <c r="M807" i="3"/>
  <c r="M714" i="3"/>
  <c r="M713" i="3" s="1"/>
  <c r="M712" i="3" s="1"/>
  <c r="M711" i="3" s="1"/>
  <c r="M796" i="3" s="1"/>
  <c r="M815" i="3"/>
  <c r="M816" i="3" s="1"/>
  <c r="M212" i="3"/>
  <c r="M252" i="3"/>
  <c r="M251" i="3" s="1"/>
  <c r="M772" i="3"/>
  <c r="M614" i="3"/>
  <c r="M613" i="3" s="1"/>
  <c r="M26" i="3"/>
  <c r="M25" i="3" s="1"/>
  <c r="M24" i="3" s="1"/>
  <c r="M602" i="19"/>
  <c r="E29" i="6" s="1"/>
  <c r="M620" i="19" l="1"/>
  <c r="M435" i="19"/>
  <c r="M406" i="19" s="1"/>
  <c r="M17" i="3"/>
  <c r="M787" i="3"/>
  <c r="M790" i="3" s="1"/>
  <c r="M355" i="3"/>
  <c r="M309" i="3"/>
  <c r="M308" i="3" s="1"/>
  <c r="M308" i="19"/>
  <c r="M613" i="19" s="1"/>
  <c r="E38" i="6" s="1"/>
  <c r="M286" i="19"/>
  <c r="M612" i="19" s="1"/>
  <c r="E37" i="6" s="1"/>
  <c r="M632" i="19"/>
  <c r="E51" i="6"/>
  <c r="E50" i="6" s="1"/>
  <c r="M627" i="19"/>
  <c r="E48" i="6"/>
  <c r="E46" i="6" s="1"/>
  <c r="E28" i="6"/>
  <c r="M610" i="19"/>
  <c r="E34" i="6"/>
  <c r="E32" i="6" s="1"/>
  <c r="E18" i="6"/>
  <c r="M806" i="3"/>
  <c r="M808" i="3" s="1"/>
  <c r="M731" i="3"/>
  <c r="M730" i="3" s="1"/>
  <c r="M495" i="3"/>
  <c r="M494" i="3" s="1"/>
  <c r="M794" i="3" s="1"/>
  <c r="M797" i="3"/>
  <c r="M793" i="3"/>
  <c r="M614" i="19"/>
  <c r="E39" i="6" s="1"/>
  <c r="M605" i="19"/>
  <c r="M111" i="19"/>
  <c r="M18" i="19" s="1"/>
  <c r="M599" i="19"/>
  <c r="M104" i="3"/>
  <c r="M778" i="3" s="1"/>
  <c r="M779" i="3" s="1"/>
  <c r="M647" i="3"/>
  <c r="M639" i="3" s="1"/>
  <c r="M813" i="3"/>
  <c r="M710" i="3"/>
  <c r="M696" i="3" s="1"/>
  <c r="M593" i="3"/>
  <c r="M592" i="3" s="1"/>
  <c r="M800" i="3" s="1"/>
  <c r="M802" i="3" s="1"/>
  <c r="M210" i="19"/>
  <c r="M209" i="19" s="1"/>
  <c r="M596" i="19"/>
  <c r="M128" i="3"/>
  <c r="M770" i="3"/>
  <c r="E44" i="6" l="1"/>
  <c r="E43" i="6" s="1"/>
  <c r="M622" i="19"/>
  <c r="M774" i="3"/>
  <c r="D24" i="6" s="1"/>
  <c r="M307" i="3"/>
  <c r="M306" i="3" s="1"/>
  <c r="E36" i="6"/>
  <c r="M285" i="19"/>
  <c r="M271" i="19" s="1"/>
  <c r="M16" i="19" s="1"/>
  <c r="M798" i="3"/>
  <c r="M600" i="19"/>
  <c r="E27" i="6"/>
  <c r="M618" i="19"/>
  <c r="M409" i="3"/>
  <c r="M395" i="3" s="1"/>
  <c r="M91" i="3"/>
  <c r="M16" i="3" s="1"/>
  <c r="M591" i="3"/>
  <c r="M557" i="3" s="1"/>
  <c r="M775" i="3" l="1"/>
  <c r="M822" i="3" s="1"/>
  <c r="D28" i="8"/>
  <c r="D27" i="8" s="1"/>
  <c r="D26" i="8" s="1"/>
  <c r="D25" i="8" s="1"/>
  <c r="M15" i="3"/>
  <c r="C28" i="8" s="1"/>
  <c r="H92" i="7"/>
  <c r="H91" i="7" s="1"/>
  <c r="I270" i="18" l="1"/>
  <c r="I269" i="18" s="1"/>
  <c r="I268" i="18" s="1"/>
  <c r="H270" i="18"/>
  <c r="H269" i="18" s="1"/>
  <c r="H268" i="18" s="1"/>
  <c r="N215" i="19"/>
  <c r="N214" i="19" s="1"/>
  <c r="C29" i="2" l="1"/>
  <c r="H75" i="7" l="1"/>
  <c r="H76" i="7"/>
  <c r="H74" i="7" l="1"/>
  <c r="H221" i="7" l="1"/>
  <c r="H220" i="7" s="1"/>
  <c r="H219" i="7" l="1"/>
  <c r="H218" i="7" s="1"/>
  <c r="H482" i="7" l="1"/>
  <c r="H246" i="7" l="1"/>
  <c r="N376" i="19" l="1"/>
  <c r="N375" i="19" s="1"/>
  <c r="N374" i="19" s="1"/>
  <c r="H104" i="18" l="1"/>
  <c r="H103" i="18" s="1"/>
  <c r="H100" i="18" s="1"/>
  <c r="I104" i="18"/>
  <c r="I103" i="18" s="1"/>
  <c r="I100" i="18" s="1"/>
  <c r="H43" i="7" l="1"/>
  <c r="H21" i="7" l="1"/>
  <c r="H20" i="7" s="1"/>
  <c r="H44" i="7"/>
  <c r="H42" i="7" s="1"/>
  <c r="H147" i="7" l="1"/>
  <c r="H146" i="7" s="1"/>
  <c r="F54" i="6" l="1"/>
  <c r="H427" i="7"/>
  <c r="H426" i="7" s="1"/>
  <c r="I26" i="18" l="1"/>
  <c r="I27" i="18"/>
  <c r="I29" i="18"/>
  <c r="I28" i="18" s="1"/>
  <c r="I31" i="18"/>
  <c r="I30" i="18" s="1"/>
  <c r="I34" i="18"/>
  <c r="I37" i="18"/>
  <c r="I49" i="18"/>
  <c r="I50" i="18"/>
  <c r="I51" i="18"/>
  <c r="I57" i="18"/>
  <c r="I58" i="18"/>
  <c r="I83" i="18"/>
  <c r="I88" i="18"/>
  <c r="I89" i="18"/>
  <c r="I90" i="18"/>
  <c r="I93" i="18"/>
  <c r="I94" i="18"/>
  <c r="I95" i="18"/>
  <c r="I97" i="18"/>
  <c r="I99" i="18"/>
  <c r="I127" i="18"/>
  <c r="I126" i="18" s="1"/>
  <c r="I125" i="18" s="1"/>
  <c r="I130" i="18"/>
  <c r="I131" i="18"/>
  <c r="I132" i="18"/>
  <c r="I144" i="18"/>
  <c r="I143" i="18" s="1"/>
  <c r="I139" i="18" s="1"/>
  <c r="I148" i="18"/>
  <c r="I149" i="18"/>
  <c r="I150" i="18"/>
  <c r="I152" i="18"/>
  <c r="I154" i="18"/>
  <c r="I163" i="18"/>
  <c r="I162" i="18" s="1"/>
  <c r="I161" i="18" s="1"/>
  <c r="I160" i="18" s="1"/>
  <c r="I174" i="18"/>
  <c r="I175" i="18"/>
  <c r="I176" i="18"/>
  <c r="I179" i="18"/>
  <c r="I180" i="18"/>
  <c r="I181" i="18"/>
  <c r="I185" i="18"/>
  <c r="I184" i="18" s="1"/>
  <c r="I202" i="18"/>
  <c r="I203" i="18"/>
  <c r="I208" i="18"/>
  <c r="I209" i="18"/>
  <c r="I210" i="18"/>
  <c r="I225" i="18"/>
  <c r="I224" i="18" s="1"/>
  <c r="I227" i="18"/>
  <c r="I226" i="18" s="1"/>
  <c r="I241" i="18"/>
  <c r="I242" i="18"/>
  <c r="I243" i="18"/>
  <c r="I253" i="18"/>
  <c r="I254" i="18"/>
  <c r="I255" i="18"/>
  <c r="I258" i="18"/>
  <c r="I257" i="18" s="1"/>
  <c r="I256" i="18" s="1"/>
  <c r="I274" i="18"/>
  <c r="I275" i="18"/>
  <c r="I276" i="18"/>
  <c r="I278" i="18"/>
  <c r="I279" i="18"/>
  <c r="I280" i="18"/>
  <c r="I294" i="18"/>
  <c r="I295" i="18"/>
  <c r="I297" i="18"/>
  <c r="I298" i="18"/>
  <c r="I300" i="18"/>
  <c r="I301" i="18"/>
  <c r="I303" i="18"/>
  <c r="I304" i="18"/>
  <c r="I307" i="18"/>
  <c r="I306" i="18" s="1"/>
  <c r="I305" i="18" s="1"/>
  <c r="I312" i="18"/>
  <c r="I313" i="18"/>
  <c r="I315" i="18"/>
  <c r="I316" i="18"/>
  <c r="I318" i="18"/>
  <c r="I319" i="18"/>
  <c r="I322" i="18"/>
  <c r="I321" i="18" s="1"/>
  <c r="I320" i="18" s="1"/>
  <c r="I334" i="18"/>
  <c r="I333" i="18" s="1"/>
  <c r="I332" i="18" s="1"/>
  <c r="I337" i="18"/>
  <c r="I336" i="18" s="1"/>
  <c r="I335" i="18" s="1"/>
  <c r="I343" i="18"/>
  <c r="I342" i="18" s="1"/>
  <c r="I341" i="18" s="1"/>
  <c r="I340" i="18" s="1"/>
  <c r="I339" i="18" s="1"/>
  <c r="I353" i="18"/>
  <c r="I352" i="18" s="1"/>
  <c r="I351" i="18" s="1"/>
  <c r="I350" i="18" s="1"/>
  <c r="I345" i="18" s="1"/>
  <c r="I361" i="18"/>
  <c r="I360" i="18" s="1"/>
  <c r="I373" i="18"/>
  <c r="I372" i="18" s="1"/>
  <c r="I371" i="18" s="1"/>
  <c r="I376" i="18"/>
  <c r="I377" i="18"/>
  <c r="I378" i="18"/>
  <c r="I380" i="18"/>
  <c r="I379" i="18" s="1"/>
  <c r="I382" i="18"/>
  <c r="I381" i="18" s="1"/>
  <c r="I384" i="18"/>
  <c r="I383" i="18" s="1"/>
  <c r="I386" i="18"/>
  <c r="I385" i="18" s="1"/>
  <c r="I389" i="18"/>
  <c r="I388" i="18" s="1"/>
  <c r="I395" i="18"/>
  <c r="I394" i="18" s="1"/>
  <c r="I393" i="18" s="1"/>
  <c r="I406" i="18"/>
  <c r="I407" i="18"/>
  <c r="I410" i="18"/>
  <c r="I411" i="18"/>
  <c r="I430" i="18"/>
  <c r="I431" i="18"/>
  <c r="I432" i="18"/>
  <c r="I437" i="18"/>
  <c r="I436" i="18" s="1"/>
  <c r="H99" i="18"/>
  <c r="H98" i="18" s="1"/>
  <c r="H97" i="18"/>
  <c r="H95" i="18"/>
  <c r="H94" i="18"/>
  <c r="H93" i="18"/>
  <c r="H90" i="18"/>
  <c r="H89" i="18"/>
  <c r="H88" i="18"/>
  <c r="H83" i="18"/>
  <c r="H58" i="18"/>
  <c r="H57" i="18"/>
  <c r="H55" i="18"/>
  <c r="H54" i="18"/>
  <c r="H53" i="18"/>
  <c r="H51" i="18"/>
  <c r="H50" i="18"/>
  <c r="H49" i="18"/>
  <c r="H37" i="18"/>
  <c r="H34" i="18"/>
  <c r="H31" i="18"/>
  <c r="H29" i="18"/>
  <c r="H27" i="18"/>
  <c r="H26" i="18"/>
  <c r="N402" i="19"/>
  <c r="N401" i="19" s="1"/>
  <c r="N400" i="19" s="1"/>
  <c r="N399" i="19" s="1"/>
  <c r="N398" i="19" s="1"/>
  <c r="N397" i="19" s="1"/>
  <c r="N386" i="19"/>
  <c r="N367" i="19"/>
  <c r="I77" i="18"/>
  <c r="I76" i="18"/>
  <c r="I75" i="18"/>
  <c r="I74" i="18"/>
  <c r="N350" i="19"/>
  <c r="N349" i="19" s="1"/>
  <c r="N334" i="19"/>
  <c r="I55" i="18"/>
  <c r="I54" i="18"/>
  <c r="I53" i="18"/>
  <c r="N326" i="19"/>
  <c r="I36" i="18"/>
  <c r="I35" i="18"/>
  <c r="N301" i="19"/>
  <c r="N300" i="19" s="1"/>
  <c r="N299" i="19" s="1"/>
  <c r="N298" i="19" s="1"/>
  <c r="N296" i="19"/>
  <c r="N294" i="19"/>
  <c r="I20" i="18"/>
  <c r="I19" i="18" s="1"/>
  <c r="I223" i="18" l="1"/>
  <c r="I222" i="18" s="1"/>
  <c r="I405" i="18"/>
  <c r="I404" i="18" s="1"/>
  <c r="I138" i="18"/>
  <c r="I357" i="18"/>
  <c r="I356" i="18" s="1"/>
  <c r="I355" i="18" s="1"/>
  <c r="I201" i="18"/>
  <c r="I200" i="18" s="1"/>
  <c r="I199" i="18" s="1"/>
  <c r="I429" i="18"/>
  <c r="I428" i="18" s="1"/>
  <c r="I267" i="18"/>
  <c r="I435" i="18"/>
  <c r="I434" i="18" s="1"/>
  <c r="H35" i="18"/>
  <c r="H74" i="18"/>
  <c r="H75" i="18"/>
  <c r="H76" i="18"/>
  <c r="H77" i="18"/>
  <c r="H92" i="18"/>
  <c r="H91" i="18" s="1"/>
  <c r="H20" i="18"/>
  <c r="H36" i="18"/>
  <c r="N290" i="19"/>
  <c r="N289" i="19" s="1"/>
  <c r="N312" i="19"/>
  <c r="I232" i="18"/>
  <c r="I229" i="18" s="1"/>
  <c r="I293" i="18"/>
  <c r="I409" i="18"/>
  <c r="I408" i="18" s="1"/>
  <c r="I314" i="18"/>
  <c r="I296" i="18"/>
  <c r="I87" i="18"/>
  <c r="I240" i="18"/>
  <c r="I239" i="18" s="1"/>
  <c r="I238" i="18" s="1"/>
  <c r="I273" i="18"/>
  <c r="I173" i="18"/>
  <c r="I172" i="18" s="1"/>
  <c r="I252" i="18"/>
  <c r="I251" i="18" s="1"/>
  <c r="I207" i="18"/>
  <c r="I206" i="18" s="1"/>
  <c r="I205" i="18" s="1"/>
  <c r="I129" i="18"/>
  <c r="I128" i="18" s="1"/>
  <c r="I96" i="18"/>
  <c r="I48" i="18"/>
  <c r="I33" i="18"/>
  <c r="I25" i="18"/>
  <c r="I18" i="18" s="1"/>
  <c r="I317" i="18"/>
  <c r="I311" i="18"/>
  <c r="I98" i="18"/>
  <c r="I56" i="18"/>
  <c r="I375" i="18"/>
  <c r="I374" i="18" s="1"/>
  <c r="I277" i="18"/>
  <c r="I178" i="18"/>
  <c r="I177" i="18" s="1"/>
  <c r="I52" i="18"/>
  <c r="I299" i="18"/>
  <c r="I302" i="18"/>
  <c r="I147" i="18"/>
  <c r="I73" i="18"/>
  <c r="I72" i="18" s="1"/>
  <c r="I331" i="18"/>
  <c r="I330" i="18" s="1"/>
  <c r="H232" i="18"/>
  <c r="H229" i="18" s="1"/>
  <c r="N330" i="19"/>
  <c r="N357" i="19"/>
  <c r="N356" i="19" s="1"/>
  <c r="I92" i="18"/>
  <c r="I91" i="18" s="1"/>
  <c r="I32" i="18" l="1"/>
  <c r="I17" i="18" s="1"/>
  <c r="N311" i="19"/>
  <c r="N310" i="19" s="1"/>
  <c r="I292" i="18"/>
  <c r="I71" i="18"/>
  <c r="H228" i="18"/>
  <c r="N288" i="19"/>
  <c r="N287" i="19" s="1"/>
  <c r="I171" i="18"/>
  <c r="I159" i="18" s="1"/>
  <c r="I228" i="18"/>
  <c r="I221" i="18" s="1"/>
  <c r="I272" i="18"/>
  <c r="I271" i="18" s="1"/>
  <c r="I266" i="18" s="1"/>
  <c r="I250" i="18"/>
  <c r="I249" i="18" s="1"/>
  <c r="I310" i="18"/>
  <c r="I198" i="18"/>
  <c r="I86" i="18"/>
  <c r="I85" i="18" s="1"/>
  <c r="N390" i="19"/>
  <c r="N385" i="19" s="1"/>
  <c r="N384" i="19" s="1"/>
  <c r="N383" i="19" s="1"/>
  <c r="N382" i="19" s="1"/>
  <c r="N286" i="19" l="1"/>
  <c r="N612" i="19" s="1"/>
  <c r="F37" i="6" s="1"/>
  <c r="I370" i="18"/>
  <c r="I369" i="18" s="1"/>
  <c r="N355" i="19"/>
  <c r="N354" i="19" s="1"/>
  <c r="N353" i="19" s="1"/>
  <c r="N309" i="19"/>
  <c r="I291" i="18"/>
  <c r="I290" i="18" s="1"/>
  <c r="I16" i="18"/>
  <c r="H527" i="7"/>
  <c r="H123" i="7"/>
  <c r="H121" i="7"/>
  <c r="H120" i="7" s="1"/>
  <c r="H114" i="7"/>
  <c r="H104" i="7"/>
  <c r="H99" i="7"/>
  <c r="H98" i="7" s="1"/>
  <c r="H90" i="7"/>
  <c r="H89" i="7"/>
  <c r="H67" i="7"/>
  <c r="H66" i="7"/>
  <c r="H64" i="7"/>
  <c r="H63" i="7"/>
  <c r="H62" i="7"/>
  <c r="H60" i="7"/>
  <c r="H59" i="7"/>
  <c r="H58" i="7"/>
  <c r="H38" i="7"/>
  <c r="H33" i="7"/>
  <c r="H31" i="7"/>
  <c r="H29" i="7"/>
  <c r="H28" i="7"/>
  <c r="H110" i="7"/>
  <c r="H86" i="7"/>
  <c r="H85" i="7"/>
  <c r="H47" i="7"/>
  <c r="H46" i="7"/>
  <c r="H40" i="7"/>
  <c r="H39" i="7"/>
  <c r="H88" i="7" l="1"/>
  <c r="N308" i="19"/>
  <c r="N613" i="19" s="1"/>
  <c r="F38" i="6" s="1"/>
  <c r="H87" i="7"/>
  <c r="H109" i="7"/>
  <c r="H115" i="7"/>
  <c r="H41" i="7"/>
  <c r="H37" i="7" s="1"/>
  <c r="H84" i="7"/>
  <c r="H113" i="7"/>
  <c r="H19" i="7"/>
  <c r="H23" i="7"/>
  <c r="H49" i="7"/>
  <c r="H112" i="7"/>
  <c r="H108" i="7"/>
  <c r="H122" i="7"/>
  <c r="N285" i="19" l="1"/>
  <c r="N271" i="19" s="1"/>
  <c r="H437" i="18"/>
  <c r="H432" i="18"/>
  <c r="H431" i="18"/>
  <c r="H430" i="18"/>
  <c r="H411" i="18"/>
  <c r="H410" i="18"/>
  <c r="H407" i="18"/>
  <c r="H406" i="18"/>
  <c r="H395" i="18"/>
  <c r="H394" i="18" s="1"/>
  <c r="H393" i="18" s="1"/>
  <c r="H389" i="18"/>
  <c r="H386" i="18"/>
  <c r="H385" i="18" s="1"/>
  <c r="H384" i="18"/>
  <c r="H382" i="18"/>
  <c r="H380" i="18"/>
  <c r="H378" i="18"/>
  <c r="H377" i="18"/>
  <c r="H376" i="18"/>
  <c r="H373" i="18"/>
  <c r="H361" i="18"/>
  <c r="H360" i="18" s="1"/>
  <c r="H353" i="18"/>
  <c r="H352" i="18" s="1"/>
  <c r="H351" i="18" s="1"/>
  <c r="H350" i="18" s="1"/>
  <c r="H345" i="18" s="1"/>
  <c r="H343" i="18"/>
  <c r="H337" i="18"/>
  <c r="H334" i="18"/>
  <c r="H322" i="18"/>
  <c r="H321" i="18" s="1"/>
  <c r="H320" i="18" s="1"/>
  <c r="H319" i="18"/>
  <c r="H318" i="18"/>
  <c r="H316" i="18"/>
  <c r="H315" i="18"/>
  <c r="H313" i="18"/>
  <c r="H312" i="18"/>
  <c r="H307" i="18"/>
  <c r="H304" i="18"/>
  <c r="H303" i="18"/>
  <c r="H301" i="18"/>
  <c r="H300" i="18"/>
  <c r="H298" i="18"/>
  <c r="H297" i="18"/>
  <c r="H295" i="18"/>
  <c r="H294" i="18"/>
  <c r="H280" i="18"/>
  <c r="H279" i="18"/>
  <c r="H278" i="18"/>
  <c r="H276" i="18"/>
  <c r="H275" i="18"/>
  <c r="H274" i="18"/>
  <c r="H405" i="18" l="1"/>
  <c r="H357" i="18"/>
  <c r="H356" i="18" s="1"/>
  <c r="H355" i="18" s="1"/>
  <c r="H429" i="18"/>
  <c r="H428" i="18" s="1"/>
  <c r="H267" i="18"/>
  <c r="D37" i="6"/>
  <c r="H375" i="18"/>
  <c r="H273" i="18"/>
  <c r="H258" i="18"/>
  <c r="H255" i="18"/>
  <c r="H254" i="18"/>
  <c r="H253" i="18"/>
  <c r="H243" i="18"/>
  <c r="H242" i="18"/>
  <c r="H241" i="18"/>
  <c r="H227" i="18"/>
  <c r="H226" i="18" s="1"/>
  <c r="H225" i="18"/>
  <c r="H224" i="18" s="1"/>
  <c r="H210" i="18"/>
  <c r="H209" i="18"/>
  <c r="H208" i="18"/>
  <c r="H203" i="18"/>
  <c r="H202" i="18"/>
  <c r="H185" i="18"/>
  <c r="H184" i="18" s="1"/>
  <c r="H181" i="18"/>
  <c r="H180" i="18"/>
  <c r="H179" i="18"/>
  <c r="H176" i="18"/>
  <c r="H175" i="18"/>
  <c r="H174" i="18"/>
  <c r="H163" i="18"/>
  <c r="H162" i="18" s="1"/>
  <c r="H161" i="18" s="1"/>
  <c r="H160" i="18" s="1"/>
  <c r="H154" i="18"/>
  <c r="H153" i="18"/>
  <c r="H152" i="18"/>
  <c r="H150" i="18"/>
  <c r="H149" i="18"/>
  <c r="H148" i="18"/>
  <c r="H144" i="18"/>
  <c r="H143" i="18" s="1"/>
  <c r="H139" i="18" s="1"/>
  <c r="H132" i="18"/>
  <c r="H131" i="18"/>
  <c r="H130" i="18"/>
  <c r="H127" i="18"/>
  <c r="H119" i="18"/>
  <c r="H129" i="18" l="1"/>
  <c r="H128" i="18" s="1"/>
  <c r="H223" i="18"/>
  <c r="H138" i="18"/>
  <c r="H201" i="18"/>
  <c r="H240" i="18"/>
  <c r="H151" i="18"/>
  <c r="H147" i="18"/>
  <c r="H571" i="7" l="1"/>
  <c r="H536" i="7"/>
  <c r="H534" i="7"/>
  <c r="H533" i="7"/>
  <c r="H532" i="7"/>
  <c r="H511" i="7"/>
  <c r="H510" i="7"/>
  <c r="H507" i="7"/>
  <c r="H504" i="7"/>
  <c r="H503" i="7"/>
  <c r="H500" i="7"/>
  <c r="H498" i="7"/>
  <c r="H494" i="7"/>
  <c r="H493" i="7" s="1"/>
  <c r="H490" i="7"/>
  <c r="H484" i="7"/>
  <c r="H479" i="7"/>
  <c r="H477" i="7"/>
  <c r="H475" i="7"/>
  <c r="H471" i="7"/>
  <c r="H470" i="7"/>
  <c r="H469" i="7"/>
  <c r="H466" i="7"/>
  <c r="H452" i="7"/>
  <c r="H446" i="7"/>
  <c r="H442" i="7"/>
  <c r="H436" i="7"/>
  <c r="H430" i="7"/>
  <c r="H402" i="7"/>
  <c r="H394" i="7"/>
  <c r="H388" i="7"/>
  <c r="H387" i="7"/>
  <c r="H385" i="7"/>
  <c r="H384" i="7"/>
  <c r="H381" i="7"/>
  <c r="H378" i="7"/>
  <c r="H377" i="7"/>
  <c r="H375" i="7"/>
  <c r="H374" i="7"/>
  <c r="H372" i="7"/>
  <c r="H371" i="7"/>
  <c r="H369" i="7"/>
  <c r="H368" i="7"/>
  <c r="H355" i="7"/>
  <c r="H352" i="7"/>
  <c r="H351" i="7" s="1"/>
  <c r="H350" i="7" s="1"/>
  <c r="H349" i="7"/>
  <c r="H345" i="7"/>
  <c r="H344" i="7"/>
  <c r="H343" i="7"/>
  <c r="H341" i="7"/>
  <c r="H340" i="7"/>
  <c r="H339" i="7"/>
  <c r="H334" i="7"/>
  <c r="H332" i="7"/>
  <c r="H321" i="7"/>
  <c r="H318" i="7"/>
  <c r="H313" i="7"/>
  <c r="H308" i="7"/>
  <c r="H307" i="7"/>
  <c r="H306" i="7"/>
  <c r="H293" i="7"/>
  <c r="H291" i="7"/>
  <c r="H287" i="7"/>
  <c r="H281" i="7"/>
  <c r="H279" i="7"/>
  <c r="H275" i="7"/>
  <c r="H273" i="7"/>
  <c r="H271" i="7"/>
  <c r="H269" i="7"/>
  <c r="H254" i="7"/>
  <c r="H253" i="7"/>
  <c r="H252" i="7"/>
  <c r="H248" i="7"/>
  <c r="H247" i="7" s="1"/>
  <c r="H245" i="7"/>
  <c r="H244" i="7"/>
  <c r="H223" i="7"/>
  <c r="H222" i="7" s="1"/>
  <c r="H217" i="7"/>
  <c r="H215" i="7"/>
  <c r="H214" i="7"/>
  <c r="H213" i="7"/>
  <c r="H210" i="7"/>
  <c r="H209" i="7"/>
  <c r="H208" i="7"/>
  <c r="H204" i="7"/>
  <c r="H203" i="7" s="1"/>
  <c r="H201" i="7"/>
  <c r="H188" i="7"/>
  <c r="H187" i="7"/>
  <c r="H186" i="7"/>
  <c r="H183" i="7"/>
  <c r="H184" i="7"/>
  <c r="H182" i="7"/>
  <c r="H178" i="7"/>
  <c r="H177" i="7" s="1"/>
  <c r="H164" i="7"/>
  <c r="H163" i="7"/>
  <c r="H162" i="7"/>
  <c r="H157" i="7"/>
  <c r="H156" i="7" s="1"/>
  <c r="H153" i="7"/>
  <c r="H150" i="7"/>
  <c r="H143" i="7"/>
  <c r="H502" i="7" l="1"/>
  <c r="H212" i="7"/>
  <c r="H354" i="7"/>
  <c r="H353" i="7" s="1"/>
  <c r="H531" i="7"/>
  <c r="H243" i="7"/>
  <c r="B17" i="9"/>
  <c r="B16" i="9" s="1"/>
  <c r="D19" i="16" l="1"/>
  <c r="I119" i="18"/>
  <c r="I118" i="18" s="1"/>
  <c r="D17" i="16"/>
  <c r="D16" i="16" s="1"/>
  <c r="D47" i="16"/>
  <c r="D36" i="16" s="1"/>
  <c r="D53" i="16"/>
  <c r="D57" i="16"/>
  <c r="C57" i="16"/>
  <c r="C53" i="16"/>
  <c r="C47" i="16"/>
  <c r="C36" i="16" s="1"/>
  <c r="C24" i="16"/>
  <c r="C19" i="16" s="1"/>
  <c r="C17" i="16"/>
  <c r="C16" i="16" s="1"/>
  <c r="C65" i="2"/>
  <c r="C34" i="2"/>
  <c r="C21" i="2"/>
  <c r="C20" i="2" l="1"/>
  <c r="I117" i="18"/>
  <c r="I116" i="18" s="1"/>
  <c r="D35" i="16"/>
  <c r="D34" i="16" s="1"/>
  <c r="C35" i="16"/>
  <c r="C34" i="16" s="1"/>
  <c r="C63" i="2"/>
  <c r="C44" i="2" s="1"/>
  <c r="C18" i="2"/>
  <c r="C17" i="2" s="1"/>
  <c r="D15" i="16" l="1"/>
  <c r="D14" i="16" s="1"/>
  <c r="E34" i="5"/>
  <c r="D34" i="5"/>
  <c r="D42" i="5" l="1"/>
  <c r="D24" i="8" s="1"/>
  <c r="D23" i="8" s="1"/>
  <c r="D22" i="8" s="1"/>
  <c r="D21" i="8" s="1"/>
  <c r="D20" i="8" s="1"/>
  <c r="D15" i="8" s="1"/>
  <c r="E42" i="5"/>
  <c r="E24" i="8" s="1"/>
  <c r="E23" i="8" s="1"/>
  <c r="E22" i="8" s="1"/>
  <c r="E21" i="8" s="1"/>
  <c r="C15" i="16"/>
  <c r="C14" i="16" s="1"/>
  <c r="M588" i="19" s="1"/>
  <c r="N259" i="19"/>
  <c r="N258" i="19" s="1"/>
  <c r="N237" i="19"/>
  <c r="N236" i="19" s="1"/>
  <c r="N235" i="19" s="1"/>
  <c r="N223" i="19"/>
  <c r="N219" i="19"/>
  <c r="N218" i="19" l="1"/>
  <c r="N217" i="19" s="1"/>
  <c r="N213" i="19"/>
  <c r="F34" i="6"/>
  <c r="F32" i="6" s="1"/>
  <c r="H330" i="7"/>
  <c r="N257" i="19"/>
  <c r="N256" i="19" s="1"/>
  <c r="N255" i="19" s="1"/>
  <c r="I153" i="18"/>
  <c r="I151" i="18" s="1"/>
  <c r="I146" i="18" s="1"/>
  <c r="N460" i="19"/>
  <c r="N443" i="19"/>
  <c r="N442" i="19" s="1"/>
  <c r="N440" i="19"/>
  <c r="N439" i="19" s="1"/>
  <c r="N419" i="19"/>
  <c r="N418" i="19" l="1"/>
  <c r="N417" i="19" s="1"/>
  <c r="N416" i="19" s="1"/>
  <c r="I145" i="18"/>
  <c r="I115" i="18" s="1"/>
  <c r="N212" i="19"/>
  <c r="N211" i="19" s="1"/>
  <c r="N595" i="19" s="1"/>
  <c r="F24" i="6" s="1"/>
  <c r="N254" i="19"/>
  <c r="N464" i="19"/>
  <c r="N459" i="19" s="1"/>
  <c r="N458" i="19" s="1"/>
  <c r="N457" i="19" s="1"/>
  <c r="N456" i="19" s="1"/>
  <c r="N621" i="19" s="1"/>
  <c r="F45" i="6" s="1"/>
  <c r="H155" i="7"/>
  <c r="H176" i="7"/>
  <c r="H174" i="7" s="1"/>
  <c r="N438" i="19"/>
  <c r="D45" i="6"/>
  <c r="C42" i="5" l="1"/>
  <c r="C24" i="8" s="1"/>
  <c r="N437" i="19"/>
  <c r="N436" i="19" s="1"/>
  <c r="I451" i="18"/>
  <c r="N415" i="19"/>
  <c r="N210" i="19"/>
  <c r="N209" i="19" s="1"/>
  <c r="D34" i="6"/>
  <c r="D32" i="6" s="1"/>
  <c r="D39" i="6"/>
  <c r="N163" i="19"/>
  <c r="N162" i="19" s="1"/>
  <c r="N161" i="19" s="1"/>
  <c r="N160" i="19" s="1"/>
  <c r="N159" i="19" s="1"/>
  <c r="N158" i="19" s="1"/>
  <c r="N147" i="19"/>
  <c r="N142" i="19"/>
  <c r="N135" i="19"/>
  <c r="N134" i="19" s="1"/>
  <c r="N133" i="19" s="1"/>
  <c r="N128" i="19" s="1"/>
  <c r="N125" i="19"/>
  <c r="N124" i="19" s="1"/>
  <c r="N123" i="19" s="1"/>
  <c r="N122" i="19" s="1"/>
  <c r="N121" i="19" s="1"/>
  <c r="N603" i="19" s="1"/>
  <c r="F30" i="6" s="1"/>
  <c r="N119" i="19"/>
  <c r="N118" i="19" s="1"/>
  <c r="N116" i="19"/>
  <c r="N115" i="19" s="1"/>
  <c r="N103" i="19"/>
  <c r="N102" i="19" s="1"/>
  <c r="N101" i="19" s="1"/>
  <c r="N93" i="19" s="1"/>
  <c r="N90" i="19"/>
  <c r="N88" i="19"/>
  <c r="N58" i="19"/>
  <c r="N53" i="19"/>
  <c r="N52" i="19" s="1"/>
  <c r="N51" i="19" s="1"/>
  <c r="N50" i="19" s="1"/>
  <c r="N49" i="19" s="1"/>
  <c r="N592" i="19" s="1"/>
  <c r="F21" i="6" s="1"/>
  <c r="N47" i="19"/>
  <c r="N46" i="19" s="1"/>
  <c r="N41" i="19"/>
  <c r="N36" i="19"/>
  <c r="N34" i="19"/>
  <c r="N30" i="19"/>
  <c r="N24" i="19"/>
  <c r="N23" i="19" s="1"/>
  <c r="N22" i="19" s="1"/>
  <c r="N21" i="19" s="1"/>
  <c r="N20" i="19" s="1"/>
  <c r="D30" i="6"/>
  <c r="D21" i="6"/>
  <c r="D19" i="6"/>
  <c r="N620" i="19" l="1"/>
  <c r="F44" i="6" s="1"/>
  <c r="F43" i="6" s="1"/>
  <c r="N435" i="19"/>
  <c r="N29" i="19"/>
  <c r="N28" i="19" s="1"/>
  <c r="N27" i="19" s="1"/>
  <c r="N26" i="19" s="1"/>
  <c r="N87" i="19"/>
  <c r="N86" i="19" s="1"/>
  <c r="N85" i="19" s="1"/>
  <c r="N84" i="19" s="1"/>
  <c r="N146" i="19"/>
  <c r="N145" i="19" s="1"/>
  <c r="N144" i="19" s="1"/>
  <c r="N614" i="19"/>
  <c r="F39" i="6" s="1"/>
  <c r="N414" i="19"/>
  <c r="N139" i="19"/>
  <c r="N138" i="19" s="1"/>
  <c r="N137" i="19" s="1"/>
  <c r="N92" i="19"/>
  <c r="N599" i="19" s="1"/>
  <c r="F27" i="6" s="1"/>
  <c r="N590" i="19"/>
  <c r="F19" i="6" s="1"/>
  <c r="N57" i="19"/>
  <c r="N56" i="19" s="1"/>
  <c r="N55" i="19" s="1"/>
  <c r="N594" i="19" s="1"/>
  <c r="F23" i="6" s="1"/>
  <c r="D23" i="6"/>
  <c r="D47" i="6"/>
  <c r="D29" i="6"/>
  <c r="N624" i="19"/>
  <c r="F47" i="6" s="1"/>
  <c r="H292" i="7"/>
  <c r="H454" i="7"/>
  <c r="N114" i="19"/>
  <c r="N113" i="19" s="1"/>
  <c r="N112" i="19" s="1"/>
  <c r="N602" i="19" s="1"/>
  <c r="F29" i="6" s="1"/>
  <c r="N406" i="19" l="1"/>
  <c r="N127" i="19"/>
  <c r="N604" i="19" s="1"/>
  <c r="F31" i="6" s="1"/>
  <c r="F28" i="6" s="1"/>
  <c r="N19" i="19"/>
  <c r="D26" i="6"/>
  <c r="D55" i="6"/>
  <c r="D44" i="6"/>
  <c r="D43" i="6" s="1"/>
  <c r="N83" i="19"/>
  <c r="N598" i="19"/>
  <c r="F26" i="6" s="1"/>
  <c r="F25" i="6" s="1"/>
  <c r="N591" i="19"/>
  <c r="F20" i="6" s="1"/>
  <c r="N111" i="19" l="1"/>
  <c r="N18" i="19" s="1"/>
  <c r="E25" i="6"/>
  <c r="E16" i="6" s="1"/>
  <c r="N196" i="19"/>
  <c r="N195" i="19" s="1"/>
  <c r="N194" i="19" s="1"/>
  <c r="N193" i="19" s="1"/>
  <c r="N192" i="19" s="1"/>
  <c r="N178" i="19"/>
  <c r="N177" i="19" s="1"/>
  <c r="N176" i="19" s="1"/>
  <c r="N175" i="19" s="1"/>
  <c r="N174" i="19" s="1"/>
  <c r="N173" i="19" s="1"/>
  <c r="D31" i="6" l="1"/>
  <c r="D27" i="6"/>
  <c r="N191" i="19"/>
  <c r="N637" i="19"/>
  <c r="F57" i="6" s="1"/>
  <c r="F56" i="6" s="1"/>
  <c r="I427" i="18"/>
  <c r="N172" i="19" l="1"/>
  <c r="N202" i="19"/>
  <c r="N201" i="19" s="1"/>
  <c r="N200" i="19" s="1"/>
  <c r="N199" i="19" s="1"/>
  <c r="N512" i="19"/>
  <c r="N511" i="19" s="1"/>
  <c r="N510" i="19" s="1"/>
  <c r="N509" i="19" s="1"/>
  <c r="N508" i="19" s="1"/>
  <c r="N486" i="19"/>
  <c r="N485" i="19" s="1"/>
  <c r="N482" i="19"/>
  <c r="N481" i="19" s="1"/>
  <c r="N480" i="19" s="1"/>
  <c r="N631" i="19" l="1"/>
  <c r="F53" i="6" s="1"/>
  <c r="N593" i="19"/>
  <c r="F22" i="6" s="1"/>
  <c r="F18" i="6" s="1"/>
  <c r="N484" i="19"/>
  <c r="N479" i="19" s="1"/>
  <c r="N478" i="19" s="1"/>
  <c r="N629" i="19" s="1"/>
  <c r="N477" i="19" l="1"/>
  <c r="N469" i="19" s="1"/>
  <c r="F51" i="6"/>
  <c r="F50" i="6" s="1"/>
  <c r="N544" i="19"/>
  <c r="N543" i="19" s="1"/>
  <c r="N542" i="19" s="1"/>
  <c r="N541" i="19" s="1"/>
  <c r="N540" i="19" s="1"/>
  <c r="N617" i="19" s="1"/>
  <c r="N535" i="19"/>
  <c r="N534" i="19" s="1"/>
  <c r="N533" i="19" s="1"/>
  <c r="N532" i="19" s="1"/>
  <c r="N616" i="19" s="1"/>
  <c r="F42" i="6" l="1"/>
  <c r="N531" i="19"/>
  <c r="N517" i="19" s="1"/>
  <c r="N574" i="19"/>
  <c r="N564" i="19"/>
  <c r="N555" i="19"/>
  <c r="F41" i="6" l="1"/>
  <c r="F36" i="6" s="1"/>
  <c r="N554" i="19"/>
  <c r="N553" i="19" s="1"/>
  <c r="N552" i="19" s="1"/>
  <c r="N551" i="19" s="1"/>
  <c r="N570" i="19"/>
  <c r="N569" i="19" s="1"/>
  <c r="N568" i="19" s="1"/>
  <c r="N567" i="19" s="1"/>
  <c r="H16" i="6" l="1"/>
  <c r="N626" i="19"/>
  <c r="F49" i="6" s="1"/>
  <c r="N625" i="19"/>
  <c r="F48" i="6" s="1"/>
  <c r="N550" i="19"/>
  <c r="N549" i="19" s="1"/>
  <c r="F46" i="6" l="1"/>
  <c r="D49" i="6"/>
  <c r="D53" i="6" l="1"/>
  <c r="D42" i="6" l="1"/>
  <c r="D52" i="6"/>
  <c r="D48" i="6"/>
  <c r="D46" i="6" s="1"/>
  <c r="D51" i="6" l="1"/>
  <c r="D50" i="6" s="1"/>
  <c r="D57" i="6" l="1"/>
  <c r="D56" i="6" s="1"/>
  <c r="D41" i="6"/>
  <c r="H506" i="7"/>
  <c r="H505" i="7" s="1"/>
  <c r="H526" i="7"/>
  <c r="H525" i="7" s="1"/>
  <c r="H524" i="7" s="1"/>
  <c r="H523" i="7" s="1"/>
  <c r="D22" i="6" l="1"/>
  <c r="H409" i="18"/>
  <c r="H408" i="18" s="1"/>
  <c r="H278" i="7"/>
  <c r="H216" i="7"/>
  <c r="H211" i="7" s="1"/>
  <c r="H401" i="7"/>
  <c r="H398" i="7" s="1"/>
  <c r="D54" i="6" l="1"/>
  <c r="H453" i="7" l="1"/>
  <c r="H379" i="18" l="1"/>
  <c r="H474" i="7" l="1"/>
  <c r="H22" i="7" l="1"/>
  <c r="H509" i="7" l="1"/>
  <c r="H508" i="7" s="1"/>
  <c r="H96" i="18" l="1"/>
  <c r="H388" i="18"/>
  <c r="H380" i="7" l="1"/>
  <c r="H379" i="7" s="1"/>
  <c r="H103" i="7"/>
  <c r="H102" i="7" s="1"/>
  <c r="H161" i="7" l="1"/>
  <c r="H160" i="7" s="1"/>
  <c r="H483" i="7" l="1"/>
  <c r="H320" i="7" l="1"/>
  <c r="H319" i="7" s="1"/>
  <c r="N635" i="19" l="1"/>
  <c r="H331" i="7" l="1"/>
  <c r="H348" i="7"/>
  <c r="H397" i="7" l="1"/>
  <c r="H396" i="7" s="1"/>
  <c r="I440" i="18" l="1"/>
  <c r="I439" i="18" s="1"/>
  <c r="I15" i="18" s="1"/>
  <c r="H440" i="18"/>
  <c r="H439" i="18" s="1"/>
  <c r="H458" i="18" s="1"/>
  <c r="H306" i="18"/>
  <c r="H305" i="18" s="1"/>
  <c r="H277" i="18"/>
  <c r="H272" i="18" s="1"/>
  <c r="H271" i="18" s="1"/>
  <c r="H252" i="18"/>
  <c r="I458" i="18" l="1"/>
  <c r="H173" i="18"/>
  <c r="H200" i="18" l="1"/>
  <c r="H56" i="18"/>
  <c r="H48" i="18"/>
  <c r="H30" i="18"/>
  <c r="H28" i="18"/>
  <c r="H19" i="18"/>
  <c r="H436" i="18"/>
  <c r="H404" i="18"/>
  <c r="H383" i="18"/>
  <c r="H381" i="18"/>
  <c r="H372" i="18"/>
  <c r="H371" i="18" s="1"/>
  <c r="H342" i="18"/>
  <c r="H341" i="18" s="1"/>
  <c r="H340" i="18" s="1"/>
  <c r="H339" i="18" s="1"/>
  <c r="H336" i="18"/>
  <c r="H335" i="18" s="1"/>
  <c r="H333" i="18"/>
  <c r="H332" i="18" s="1"/>
  <c r="H317" i="18"/>
  <c r="H314" i="18"/>
  <c r="H311" i="18"/>
  <c r="H302" i="18"/>
  <c r="H299" i="18"/>
  <c r="H296" i="18"/>
  <c r="H293" i="18"/>
  <c r="H257" i="18"/>
  <c r="H256" i="18" s="1"/>
  <c r="H251" i="18"/>
  <c r="H239" i="18"/>
  <c r="H238" i="18" s="1"/>
  <c r="H207" i="18"/>
  <c r="H206" i="18" s="1"/>
  <c r="H205" i="18" s="1"/>
  <c r="H178" i="18"/>
  <c r="H177" i="18" s="1"/>
  <c r="H172" i="18"/>
  <c r="H126" i="18"/>
  <c r="H125" i="18" s="1"/>
  <c r="H118" i="18"/>
  <c r="H117" i="18" s="1"/>
  <c r="H374" i="18" l="1"/>
  <c r="H370" i="18" s="1"/>
  <c r="H292" i="18"/>
  <c r="H116" i="18"/>
  <c r="H171" i="18"/>
  <c r="H159" i="18" s="1"/>
  <c r="H250" i="18"/>
  <c r="H435" i="18"/>
  <c r="H434" i="18" s="1"/>
  <c r="H222" i="18"/>
  <c r="H221" i="18" s="1"/>
  <c r="H73" i="18"/>
  <c r="H72" i="18" s="1"/>
  <c r="H33" i="18"/>
  <c r="I455" i="18"/>
  <c r="H427" i="18"/>
  <c r="H146" i="18"/>
  <c r="H145" i="18" s="1"/>
  <c r="H199" i="18"/>
  <c r="H198" i="18" s="1"/>
  <c r="H52" i="18"/>
  <c r="H87" i="18"/>
  <c r="H25" i="18"/>
  <c r="H18" i="18" s="1"/>
  <c r="H331" i="18"/>
  <c r="H330" i="18" s="1"/>
  <c r="H266" i="18"/>
  <c r="H310" i="18"/>
  <c r="H32" i="18" l="1"/>
  <c r="H17" i="18" s="1"/>
  <c r="H115" i="18"/>
  <c r="H71" i="18"/>
  <c r="H455" i="18"/>
  <c r="H291" i="18"/>
  <c r="H290" i="18" s="1"/>
  <c r="H249" i="18"/>
  <c r="H86" i="18"/>
  <c r="H85" i="18" s="1"/>
  <c r="H369" i="18"/>
  <c r="H16" i="18" l="1"/>
  <c r="H15" i="18" s="1"/>
  <c r="K15" i="18" s="1"/>
  <c r="H451" i="18" l="1"/>
  <c r="H460" i="18" s="1"/>
  <c r="I460" i="18"/>
  <c r="H317" i="7"/>
  <c r="H316" i="7" s="1"/>
  <c r="I453" i="18" l="1"/>
  <c r="I459" i="18"/>
  <c r="I456" i="18"/>
  <c r="H459" i="18"/>
  <c r="H456" i="18"/>
  <c r="H453" i="18"/>
  <c r="N580" i="19" l="1"/>
  <c r="N16" i="19" s="1"/>
  <c r="E28" i="8" l="1"/>
  <c r="E27" i="8" s="1"/>
  <c r="E26" i="8" s="1"/>
  <c r="E25" i="8" s="1"/>
  <c r="E20" i="8" s="1"/>
  <c r="E15" i="8" s="1"/>
  <c r="L15" i="18"/>
  <c r="N640" i="19"/>
  <c r="F60" i="6" s="1"/>
  <c r="F59" i="6" s="1"/>
  <c r="F16" i="6" s="1"/>
  <c r="I16" i="6" s="1"/>
  <c r="N627" i="19" l="1"/>
  <c r="N638" i="19"/>
  <c r="N600" i="19"/>
  <c r="N610" i="19"/>
  <c r="N605" i="19" l="1"/>
  <c r="N622" i="19"/>
  <c r="N618" i="19"/>
  <c r="N632" i="19"/>
  <c r="N596" i="19"/>
  <c r="H570" i="7" l="1"/>
  <c r="H569" i="7" l="1"/>
  <c r="H568" i="7" s="1"/>
  <c r="H18" i="7"/>
  <c r="H333" i="7" l="1"/>
  <c r="H425" i="7" l="1"/>
  <c r="H272" i="7"/>
  <c r="H280" i="7"/>
  <c r="H277" i="7" s="1"/>
  <c r="H274" i="7"/>
  <c r="H499" i="7" l="1"/>
  <c r="H497" i="7"/>
  <c r="H489" i="7"/>
  <c r="H488" i="7" s="1"/>
  <c r="H476" i="7"/>
  <c r="H496" i="7" l="1"/>
  <c r="H535" i="7"/>
  <c r="H530" i="7" s="1"/>
  <c r="H393" i="7"/>
  <c r="H392" i="7" s="1"/>
  <c r="H459" i="7" l="1"/>
  <c r="H458" i="7" s="1"/>
  <c r="H457" i="7" s="1"/>
  <c r="H456" i="7" s="1"/>
  <c r="H451" i="7"/>
  <c r="H450" i="7" s="1"/>
  <c r="H445" i="7"/>
  <c r="H444" i="7" s="1"/>
  <c r="H443" i="7" s="1"/>
  <c r="H441" i="7"/>
  <c r="H435" i="7"/>
  <c r="H434" i="7" s="1"/>
  <c r="H429" i="7"/>
  <c r="H428" i="7" s="1"/>
  <c r="H376" i="7"/>
  <c r="H373" i="7"/>
  <c r="H370" i="7"/>
  <c r="H367" i="7"/>
  <c r="H366" i="7" l="1"/>
  <c r="H449" i="7"/>
  <c r="H448" i="7" s="1"/>
  <c r="H433" i="7"/>
  <c r="H386" i="7"/>
  <c r="H389" i="7"/>
  <c r="H383" i="7"/>
  <c r="H440" i="7"/>
  <c r="H439" i="7" s="1"/>
  <c r="H329" i="7"/>
  <c r="H328" i="7" s="1"/>
  <c r="H286" i="7"/>
  <c r="H200" i="7"/>
  <c r="H327" i="7" l="1"/>
  <c r="H207" i="7"/>
  <c r="H206" i="7" s="1"/>
  <c r="H185" i="7"/>
  <c r="H251" i="7"/>
  <c r="H250" i="7" s="1"/>
  <c r="H249" i="7" s="1"/>
  <c r="H290" i="7"/>
  <c r="H289" i="7" s="1"/>
  <c r="H288" i="7" s="1"/>
  <c r="H181" i="7"/>
  <c r="H382" i="7"/>
  <c r="H365" i="7" s="1"/>
  <c r="H305" i="7"/>
  <c r="H304" i="7" s="1"/>
  <c r="H154" i="7"/>
  <c r="H149" i="7"/>
  <c r="H148" i="7" s="1"/>
  <c r="H142" i="7"/>
  <c r="H141" i="7" s="1"/>
  <c r="H83" i="7"/>
  <c r="H82" i="7" s="1"/>
  <c r="H65" i="7"/>
  <c r="H57" i="7"/>
  <c r="H45" i="7"/>
  <c r="H32" i="7"/>
  <c r="H30" i="7"/>
  <c r="H268" i="7"/>
  <c r="H179" i="7" l="1"/>
  <c r="H81" i="7"/>
  <c r="H173" i="7"/>
  <c r="H152" i="7"/>
  <c r="H151" i="7" s="1"/>
  <c r="H27" i="7"/>
  <c r="H17" i="7" s="1"/>
  <c r="H107" i="7"/>
  <c r="H140" i="7" l="1"/>
  <c r="H172" i="7"/>
  <c r="H139" i="7" l="1"/>
  <c r="H501" i="7"/>
  <c r="H338" i="7"/>
  <c r="H342" i="7"/>
  <c r="H337" i="7" l="1"/>
  <c r="H336" i="7" s="1"/>
  <c r="H326" i="7" s="1"/>
  <c r="H205" i="7"/>
  <c r="H61" i="7" l="1"/>
  <c r="H111" i="7" l="1"/>
  <c r="H106" i="7" s="1"/>
  <c r="H105" i="7" l="1"/>
  <c r="H478" i="7"/>
  <c r="H270" i="7"/>
  <c r="H267" i="7" s="1"/>
  <c r="H266" i="7" s="1"/>
  <c r="H468" i="7"/>
  <c r="D28" i="6" l="1"/>
  <c r="H529" i="7" l="1"/>
  <c r="H585" i="7" s="1"/>
  <c r="D25" i="6"/>
  <c r="H438" i="7"/>
  <c r="H432" i="7"/>
  <c r="H424" i="7"/>
  <c r="H423" i="7" s="1"/>
  <c r="H312" i="7"/>
  <c r="H311" i="7" s="1"/>
  <c r="H285" i="7"/>
  <c r="H242" i="7"/>
  <c r="H241" i="7" s="1"/>
  <c r="H202" i="7"/>
  <c r="H199" i="7"/>
  <c r="H303" i="7" l="1"/>
  <c r="H364" i="7"/>
  <c r="H276" i="7"/>
  <c r="H265" i="7" s="1"/>
  <c r="H198" i="7"/>
  <c r="H197" i="7" s="1"/>
  <c r="H302" i="7" l="1"/>
  <c r="H240" i="7" l="1"/>
  <c r="H465" i="7" l="1"/>
  <c r="H464" i="7" s="1"/>
  <c r="N588" i="19" l="1"/>
  <c r="C15" i="2" l="1"/>
  <c r="H481" i="7" l="1"/>
  <c r="C23" i="8" l="1"/>
  <c r="C22" i="8" s="1"/>
  <c r="C21" i="8" s="1"/>
  <c r="H480" i="7"/>
  <c r="D20" i="6"/>
  <c r="D18" i="6" s="1"/>
  <c r="H467" i="7" l="1"/>
  <c r="H463" i="7" s="1"/>
  <c r="H462" i="7" s="1"/>
  <c r="H51" i="7"/>
  <c r="H48" i="7" s="1"/>
  <c r="H36" i="7" s="1"/>
  <c r="H16" i="7" l="1"/>
  <c r="H15" i="7" s="1"/>
  <c r="H14" i="7" s="1"/>
  <c r="D38" i="6" l="1"/>
  <c r="D36" i="6" s="1"/>
  <c r="C27" i="8"/>
  <c r="C26" i="8" s="1"/>
  <c r="C25" i="8" s="1"/>
  <c r="C20" i="8" s="1"/>
  <c r="C15" i="8" s="1"/>
  <c r="H581" i="7"/>
  <c r="H587" i="7" s="1"/>
  <c r="H586" i="7" s="1"/>
  <c r="D16" i="6" l="1"/>
  <c r="G16" i="6" s="1"/>
  <c r="H583" i="7"/>
  <c r="J14" i="7"/>
</calcChain>
</file>

<file path=xl/sharedStrings.xml><?xml version="1.0" encoding="utf-8"?>
<sst xmlns="http://schemas.openxmlformats.org/spreadsheetml/2006/main" count="15995" uniqueCount="797">
  <si>
    <t>Администрация муниципального образования Апшеронский район</t>
  </si>
  <si>
    <t>Невыясненные поступления, зачисляемые в бюджеты муниципальных районов</t>
  </si>
  <si>
    <t>902</t>
  </si>
  <si>
    <t>Финансовое управление администрации муниципального образования Апшеронский район</t>
  </si>
  <si>
    <t>Увеличение прочих остатков денежных средств бюджетов муниципальных районов</t>
  </si>
  <si>
    <t>Уменьшение прочих остатков денежных средств бюджетов муниципальных районов</t>
  </si>
  <si>
    <t>Управление имущественных отношений администрации муниципального образования Апшеронский район</t>
  </si>
  <si>
    <t>Управление образования администрации муниципального образования Апшеронский район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</si>
  <si>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</si>
  <si>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Отдел культуры администрации муниципального образования Апшеронский район</t>
  </si>
  <si>
    <t>Отдел по физической культуре и спорту администрации муниципального образования Апшеронский район</t>
  </si>
  <si>
    <t>Отдел по делам молодежи администрации муниципального образования Апшеронский район</t>
  </si>
  <si>
    <t>Отдел по вопросам семьи и детства администрации муниципального образования Апшеронский район</t>
  </si>
  <si>
    <t>Прочие доходы от оказания платных услуг (работ) получателями средств бюджетов муниципальных районов</t>
  </si>
  <si>
    <t>Код</t>
  </si>
  <si>
    <t>Наименование дохода</t>
  </si>
  <si>
    <t>Сумма</t>
  </si>
  <si>
    <t>2 00 00000 00 0000 000</t>
  </si>
  <si>
    <t>2 02 00000 00 0000 000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</si>
  <si>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</si>
  <si>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</si>
  <si>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</si>
  <si>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Федерации, в том числе:</t>
  </si>
  <si>
    <t>субвенции на осуществление отдельных государственных полномочий Краснодарского края по формированию и утверждению списков граждан, лишившихся жилого помещения в результате чрезвычайных ситуаций</t>
  </si>
  <si>
    <t>(тыс. рублей)</t>
  </si>
  <si>
    <t>№ п\п</t>
  </si>
  <si>
    <t>Наименование</t>
  </si>
  <si>
    <t>Вед</t>
  </si>
  <si>
    <t>РЗ</t>
  </si>
  <si>
    <t>ПР</t>
  </si>
  <si>
    <t>ЦСР</t>
  </si>
  <si>
    <t>ВР</t>
  </si>
  <si>
    <t>3</t>
  </si>
  <si>
    <t>4</t>
  </si>
  <si>
    <t>5</t>
  </si>
  <si>
    <t>6</t>
  </si>
  <si>
    <t>7</t>
  </si>
  <si>
    <t>Контрольно-счетная палата муниципального образования Апшеронский район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</si>
  <si>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</si>
  <si>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</si>
  <si>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</si>
  <si>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</si>
  <si>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Муниципальная программа муниципального образования Апшеронский район "Организация муниципального управления"</t>
  </si>
  <si>
    <t>17</t>
  </si>
  <si>
    <t>0</t>
  </si>
  <si>
    <t>00</t>
  </si>
  <si>
    <t>00000</t>
  </si>
  <si>
    <t>1</t>
  </si>
  <si>
    <t xml:space="preserve">Обеспечение деятельности высшего должностного лица муниципального образования </t>
  </si>
  <si>
    <t>Расходы на обеспечение функций органов местного самоуправления</t>
  </si>
  <si>
    <t>00190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</si>
  <si>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</si>
  <si>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</si>
  <si>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</si>
  <si>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</si>
  <si>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Муниципальная программа муниципального образования  Апшеронский район "Организация муниципального управления"</t>
  </si>
  <si>
    <t>Обеспечение деятельности администрации муниципального образования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</si>
  <si>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</si>
  <si>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</si>
  <si>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</si>
  <si>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800</t>
  </si>
  <si>
    <t>60870</t>
  </si>
  <si>
    <t>Осуществление отдельных государственных полномочий по созданию и организации деятельности комиссий по делам несовершеннолетних и защите их прав</t>
  </si>
  <si>
    <t>60910</t>
  </si>
  <si>
    <t>Развитие муниципального управления</t>
  </si>
  <si>
    <t>03</t>
  </si>
  <si>
    <t>Административная реформа</t>
  </si>
  <si>
    <t>05</t>
  </si>
  <si>
    <t>Резервные фонды</t>
  </si>
  <si>
    <t>11</t>
  </si>
  <si>
    <t>99</t>
  </si>
  <si>
    <t>90010</t>
  </si>
  <si>
    <t>Другие общегосударственные вопросы</t>
  </si>
  <si>
    <t>13</t>
  </si>
  <si>
    <t>Муниципальная программа муниципального образования Апшеронский район "Поддержка социально ориентированных некоммерческих организаций"</t>
  </si>
  <si>
    <t>15</t>
  </si>
  <si>
    <t>Субсидии на поддержку социально ориентированных некоммерческих организаций</t>
  </si>
  <si>
    <t>11600</t>
  </si>
  <si>
    <t>Предоставление субсидий бюджетным, автономным учреждениям и иным некоммерческим организациям</t>
  </si>
  <si>
    <t>600</t>
  </si>
  <si>
    <t>Национальная безопасность и правоохранительная деятельность</t>
  </si>
  <si>
    <t>09</t>
  </si>
  <si>
    <t>Муниципальная программа муниципального образования Апшеронский район "Обеспечение безопасности населения"</t>
  </si>
  <si>
    <t>06</t>
  </si>
  <si>
    <t>Предупреждение и ликвидация чрезвычайных ситуаций, стихийных бедствий и их последствий в муниципальном образовании</t>
  </si>
  <si>
    <t>Обеспечение защиты населения и территории муниципального образования Апшеронский район от чрезвычайных ситуаций природного и техногенного характера</t>
  </si>
  <si>
    <t>10600</t>
  </si>
  <si>
    <t>Реализация мероприятий муниципальной программы "Обеспечение безопасности населения"</t>
  </si>
  <si>
    <t>10660</t>
  </si>
  <si>
    <t>Другие вопросы в области национальной безопасности и правоохранительной деятельности</t>
  </si>
  <si>
    <t>14</t>
  </si>
  <si>
    <t>2</t>
  </si>
  <si>
    <t>10610</t>
  </si>
  <si>
    <t>00590</t>
  </si>
  <si>
    <t>Национальная экономика</t>
  </si>
  <si>
    <t>Сельское хозяйство и рыболовство</t>
  </si>
  <si>
    <t xml:space="preserve">Муниципальная программа муниципального образования  Апшеронский район "Развитие сельского хозяйства" </t>
  </si>
  <si>
    <t>Развитие малых форм хозяйствования в АПК в муниципальном образовании Апшеронский район</t>
  </si>
  <si>
    <t>Обеспечение эпизоотического, ветеринарно-санитарного благополучия в муниципальном образовании Апшеронский район</t>
  </si>
  <si>
    <t>61650</t>
  </si>
  <si>
    <t>Дорожное хозяйство (дорожные фонды)</t>
  </si>
  <si>
    <t>Муниципальная программа муниципального образования Апшеронский район "Поддержка дорожного хозяйства"</t>
  </si>
  <si>
    <t>12</t>
  </si>
  <si>
    <t>Создание устойчивого и безопасного функционирования автомобильных дорог общего пользования местного значения муниципального образования Апшеронский район</t>
  </si>
  <si>
    <t>Строительство, реконструкция, капитальный ремонт, ремонт и содержание автомобильных дорог общего пользования местного значения, включая проектно-изыскательские работы</t>
  </si>
  <si>
    <t>11300</t>
  </si>
  <si>
    <t>10</t>
  </si>
  <si>
    <t>11820</t>
  </si>
  <si>
    <t>Другие вопросы в области национальной экономики</t>
  </si>
  <si>
    <t>Муниципальная программа муниципального образования Апшеронский район "Экономическое развитие муниципального образования"</t>
  </si>
  <si>
    <t>Развитие малого и среднего предпринимательства в муниципальном образовании</t>
  </si>
  <si>
    <t>Финансовая поддержка субъектов малого и среднего предпринимательства</t>
  </si>
  <si>
    <t>Развитие и поддержка малого и среднего предпринимательства</t>
  </si>
  <si>
    <t>11400</t>
  </si>
  <si>
    <t>Инвестиционное развитие муниципального образования</t>
  </si>
  <si>
    <t>Создание условий для инвестиционного развития муниципального образования Апшеронский район</t>
  </si>
  <si>
    <t>Формирование и продвижение экономически и инвестиционно привлекательного образа муниципального образования Апшеронский район за его пределами</t>
  </si>
  <si>
    <t>11410</t>
  </si>
  <si>
    <t>Муниципальная программа муниципального образования Апшеронский район "Развитие санаторно-курортного и туристского комплекса"</t>
  </si>
  <si>
    <t xml:space="preserve">Реализация мероприятий муниципальной программы "Развитие санаторно-курортного и туристского комплекса" </t>
  </si>
  <si>
    <t>11500</t>
  </si>
  <si>
    <t>Социальная политика</t>
  </si>
  <si>
    <t>Социальное обеспечение и иные выплаты населению</t>
  </si>
  <si>
    <t>300</t>
  </si>
  <si>
    <t>Другие  вопросы в области социальной политики</t>
  </si>
  <si>
    <t>Межбюджетные трансферты</t>
  </si>
  <si>
    <t>500</t>
  </si>
  <si>
    <t>Профилактика терроризма и экстремизма в муниципальном образовании</t>
  </si>
  <si>
    <t>Организация физической охраны в здании администрации муниципального образования Апшеронский район</t>
  </si>
  <si>
    <t>Мероприятия по профилактике терроризма и экстремизма</t>
  </si>
  <si>
    <t>910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</si>
  <si>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</si>
  <si>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деятельности Контрольно-счетной палаты муниципального образования</t>
  </si>
  <si>
    <t>51</t>
  </si>
  <si>
    <t>Контрольно-счетная палата муниципального образования</t>
  </si>
  <si>
    <t>20010</t>
  </si>
  <si>
    <t>1 00 00000 00 0000 000</t>
  </si>
  <si>
    <t>Налоговые и неналоговые доходы</t>
  </si>
  <si>
    <t>1 01 01000 00 0000 110</t>
  </si>
  <si>
    <t>Налог на прибыль организаций*</t>
  </si>
  <si>
    <t>1 01 02000 01 0000 110</t>
  </si>
  <si>
    <t>Налог на доходы физических лиц*</t>
  </si>
  <si>
    <t>1 03 02230 01 0000 110
1 03 02240 01 0000 110
1 03 02250 01 0000 110
1 03 02260 01 0000 110</t>
  </si>
  <si>
    <t>1 05 02000 02 0000 110</t>
  </si>
  <si>
    <t>1 05 03000 01 0000 110</t>
  </si>
  <si>
    <t>Единый сельскохозяйственный налог*</t>
  </si>
  <si>
    <t>1 05 04000 02 0000 110</t>
  </si>
  <si>
    <t>Налог, взимаемый в связи с применением патентной системы налогообложения</t>
  </si>
  <si>
    <t>1 08 00000 00 0000 000</t>
  </si>
  <si>
    <t>Государственная пошлина*</t>
  </si>
  <si>
    <t>1 11 01050 05 0000 120</t>
  </si>
  <si>
    <t>1 11 05010 00 0000 120</t>
  </si>
  <si>
    <t>1 11 07015 05 0000 120</t>
  </si>
  <si>
    <t>1 12 01000 01 0000 120</t>
  </si>
  <si>
    <t>Плата за негативное воздействие на окружающую среду*</t>
  </si>
  <si>
    <t>1 14 00000 00 0000 000</t>
  </si>
  <si>
    <t>Доходы от продажи материальных и нематериальных активов*</t>
  </si>
  <si>
    <t>1 16 00000 00 0000 000</t>
  </si>
  <si>
    <t>Штрафы, санкции, возмещение ущерба*</t>
  </si>
  <si>
    <t>Иные межбюджетные трансферты*</t>
  </si>
  <si>
    <t>Всего доходов</t>
  </si>
  <si>
    <t>Распределение бюджетных ассигнований по разделам и подразделам</t>
  </si>
  <si>
    <t>№ п/п</t>
  </si>
  <si>
    <t>Всего расходов</t>
  </si>
  <si>
    <t>в том числе:</t>
  </si>
  <si>
    <t>0100</t>
  </si>
  <si>
    <t>0102</t>
  </si>
  <si>
    <t xml:space="preserve">Функционирование высшего должностного лица субъекта Российской Федерации и муниципального образования   </t>
  </si>
  <si>
    <t>0104</t>
  </si>
  <si>
    <t>0106</t>
  </si>
  <si>
    <t>0111</t>
  </si>
  <si>
    <t>0113</t>
  </si>
  <si>
    <t>0300</t>
  </si>
  <si>
    <t>0314</t>
  </si>
  <si>
    <t>0400</t>
  </si>
  <si>
    <t>0405</t>
  </si>
  <si>
    <t>0409</t>
  </si>
  <si>
    <t>0412</t>
  </si>
  <si>
    <t>0500</t>
  </si>
  <si>
    <t>Жилищно-коммунальное хозяйство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</si>
  <si>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</si>
  <si>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</si>
  <si>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</si>
  <si>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</si>
  <si>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</si>
  <si>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</si>
  <si>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</si>
  <si>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</si>
  <si>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</si>
  <si>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</si>
  <si>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</si>
  <si>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</si>
  <si>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</si>
  <si>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</si>
  <si>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</si>
  <si>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Охрана семьи и детства</t>
  </si>
  <si>
    <t>Другие вопросы в области социальной политики</t>
  </si>
  <si>
    <t xml:space="preserve">Физическая культура и спорт </t>
  </si>
  <si>
    <t>1102</t>
  </si>
  <si>
    <t>Массовый спорт</t>
  </si>
  <si>
    <t>1105</t>
  </si>
  <si>
    <t>Другие вопросы в области физической культуры и спорта</t>
  </si>
  <si>
    <t xml:space="preserve">Межбюджетные трансферты общего характера бюджетам бюджетной системы Российской Федерации </t>
  </si>
  <si>
    <t>Дотации на выравнивание бюджетной обеспеченности субъектов Российской Федерации и муниципальных образований</t>
  </si>
  <si>
    <t>ВСЕГО</t>
  </si>
  <si>
    <t>Капитальные вложения в объекты государственной (муниципальной) собственности</t>
  </si>
  <si>
    <t>400</t>
  </si>
  <si>
    <t>Муниципальная программа муниципального образования Апшеронский район "Развитие образования"</t>
  </si>
  <si>
    <t>Развитие дошкольного и общего образования детей</t>
  </si>
  <si>
    <t>Мероприятия по повышению уровня безопасности  муниципальных образовательных учреждений</t>
  </si>
  <si>
    <t>Реализация мероприятий муниципальной программы "Развитие образования"</t>
  </si>
  <si>
    <t>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</t>
  </si>
  <si>
    <t>Развитие дополнительного образования детей</t>
  </si>
  <si>
    <t>Стипендии главы муниципального образования Апшеронский район для одаренных детей</t>
  </si>
  <si>
    <t>Обеспечение реализации муниципальной программы и прочие мероприятия в области образования</t>
  </si>
  <si>
    <t>Муниципальная программа муниципального образования Апшеронский район "Развитие культуры"</t>
  </si>
  <si>
    <t>Совершенствование деятельности муниципальных учреждений отрасли "Культура и искусство" по предоставлению муниципальных услуг</t>
  </si>
  <si>
    <t>Организация библиотечного обслуживания населения, комплектование библиотечных фондов библиотек поселения</t>
  </si>
  <si>
    <t>Обеспечение реализации муниципальной программы и прочие мероприятия в сфере культуры и искусства</t>
  </si>
  <si>
    <t>Муниципальная программа муниципального образования Апшеронский район "Развитие физической культуры и спорта"</t>
  </si>
  <si>
    <t>Развитие физической культуры и массового спорта</t>
  </si>
  <si>
    <t>Реализация мероприятий муниципальной программы "Развитие физической культуры и спорта"</t>
  </si>
  <si>
    <t>Управление реализацией муниципальной программы</t>
  </si>
  <si>
    <t>Муниципальная программа муниципального образования Апшеронский район "Развитие молодежной политики"</t>
  </si>
  <si>
    <t>Молодежь Апшеронского района</t>
  </si>
  <si>
    <t>Муниципальная программа муниципального образования Апшеронский район "Управление муниципальными финансами"</t>
  </si>
  <si>
    <t>07</t>
  </si>
  <si>
    <t>Муниципальная программа муниципального образования Апшеронский район "Управление муниципальным имуществом"</t>
  </si>
  <si>
    <t>08</t>
  </si>
  <si>
    <t>Повышение эффективности управления муниципальным имуществом и приватизации</t>
  </si>
  <si>
    <t>Оценка недвижимости, признание прав и регулирование отношений по муниципальной собственности</t>
  </si>
  <si>
    <t>Управление реализацией муниципальной программы и прочие мероприятия</t>
  </si>
  <si>
    <t xml:space="preserve">Муниципальная программа муниципального образования Апшеронский район "Социальная поддержка граждан" </t>
  </si>
  <si>
    <t>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</t>
  </si>
  <si>
    <t>Осуществление отдельных государственных полномочий по выявлению обстоятельств, свидетельствующих о необходимости оказания детям-сиротам и детям, оставшимся без попечения родителей, лицам из числа детей-сирот и детей, оставшихся без попечения родителей, содействия в преодолении трудной жизненной ситуации, и осуществлению контроля за использованием детьми-сиротами и детьми, оставшимися без попечения родителей, лицами из числа детей-сирот и детей, оставшихся без попечения родителей, предоставленных им жилых помещений специализированного жилищного фонда</t>
  </si>
  <si>
    <t>Муниципальная программа муниципального образования Апшеронский район "Доступная среда"</t>
  </si>
  <si>
    <t>20</t>
  </si>
  <si>
    <t>Реализация мероприятий муниципальной программы "Доступная среда"</t>
  </si>
  <si>
    <t>Осуществление внешнего муниципального финансового контроля</t>
  </si>
  <si>
    <t>программы</t>
  </si>
  <si>
    <t>непрограммные</t>
  </si>
  <si>
    <t>(тыс.рублей)</t>
  </si>
  <si>
    <t>000 01 00 00 00 00 0000 000</t>
  </si>
  <si>
    <t>Источники внутреннего финансирования дефицитов бюджетов, всего</t>
  </si>
  <si>
    <t>000 01 05 00 00 00 0000 000</t>
  </si>
  <si>
    <t>Изменение остатков средств на счетах по учету средств бюджетов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</si>
  <si>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</si>
  <si>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</si>
  <si>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</si>
  <si>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</si>
  <si>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Увеличение прочих остатков денежных средств бюджетов</t>
  </si>
  <si>
    <t>000 01 05 02 01 05 0000 510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</si>
  <si>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</si>
  <si>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</si>
  <si>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</si>
  <si>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</si>
  <si>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</si>
  <si>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</si>
  <si>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000 01 05 02 01 05 0000 610</t>
  </si>
  <si>
    <t>Наименование межбюджетных трансфертов</t>
  </si>
  <si>
    <t>Дотации на выравнивание бюджетной обеспеченности поселений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</si>
  <si>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</si>
  <si>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из них:</t>
  </si>
  <si>
    <t xml:space="preserve">субвенции на 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 </t>
  </si>
  <si>
    <t>муниципальные дошкольные образовательные организации</t>
  </si>
  <si>
    <t>муниципальные общеобразовательные организации</t>
  </si>
  <si>
    <t>субвенции на 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населенных пунктах, рабочих поселках (поселках городского типа) на территории Краснодарского края</t>
  </si>
  <si>
    <t>60070</t>
  </si>
  <si>
    <t>Оказание финансовой поддержки социально ориентированным некоммерческим организациям</t>
  </si>
  <si>
    <t>Содействие развитию дошкольного образования</t>
  </si>
  <si>
    <t>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населенных пунктах, рабочих поселках (поселках городского типа) на территории Краснодарского края</t>
  </si>
  <si>
    <t>60820</t>
  </si>
  <si>
    <t>60860</t>
  </si>
  <si>
    <t>Обеспечение мероприятий по противодействию терроризму и экстремизму</t>
  </si>
  <si>
    <t>Содействие развитию общего образования</t>
  </si>
  <si>
    <t>10200</t>
  </si>
  <si>
    <t>10210</t>
  </si>
  <si>
    <t>62370</t>
  </si>
  <si>
    <t>Содействие развитию дополнительного образования детей</t>
  </si>
  <si>
    <t>Выявление и поддержка одаренных детей</t>
  </si>
  <si>
    <t xml:space="preserve">Стипендии главы муниципального образования Апшеронский район для одаренных детей </t>
  </si>
  <si>
    <t>00300</t>
  </si>
  <si>
    <t>12100</t>
  </si>
  <si>
    <t>Создание условий для полноценного и безопасного отдыха детей в каникулярное время</t>
  </si>
  <si>
    <t>Совершенствование управления реализацией Программы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</si>
  <si>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образовательные организации, реализующие  образовательную программу дошкольного образования</t>
  </si>
  <si>
    <t>60710</t>
  </si>
  <si>
    <t>Совершенствование социальной поддержки семьи и детей</t>
  </si>
  <si>
    <t>Создание условий для формирования доступной среды жизнедеятельности для инвалидов и других маломобильных групп населения</t>
  </si>
  <si>
    <t>934</t>
  </si>
  <si>
    <t>Развитие и реализация потенциала молодежи в интересах Кубани, формирование благоприятной среды, обеспечивающей всестороннее развитие личности</t>
  </si>
  <si>
    <t xml:space="preserve">Реализация мероприятий муниципальной программы "Развитие молодежной политики" </t>
  </si>
  <si>
    <t>10500</t>
  </si>
  <si>
    <t>929</t>
  </si>
  <si>
    <t>Формирование здорового образа жизни и гармоничное воспитание здорового,  физически крепкого поколения</t>
  </si>
  <si>
    <t>10400</t>
  </si>
  <si>
    <t xml:space="preserve">Массовый спорт </t>
  </si>
  <si>
    <t>953</t>
  </si>
  <si>
    <t>Муниципальная программа муниципального образования Апшеронский район "Социальная поддержка граждан"</t>
  </si>
  <si>
    <t>Другие вопросы в области социальной политики</t>
  </si>
  <si>
    <t>Создание условий для эффективного управления и распоряжения муниципальным имуществом Апшеронского района в целях увеличения доходной части бюджета муниципального образования</t>
  </si>
  <si>
    <t>10800</t>
  </si>
  <si>
    <t>Повышение эффективности осуществления закупок товаров, работ, услуг для муниципальных нужд и нужд бюджетных учреждений муниципального образования</t>
  </si>
  <si>
    <t>Государственная поддержка решения жилищной проблемы детей-сирот и детей, оставшихся без попечения родителей, лиц из числа детей-сирот и детей, оставшихся без попечения родителей</t>
  </si>
  <si>
    <t>Создание условий для эффективного управления в сфере развития системы управления муниципальным имуществом, находящимся в муниципальной собственности</t>
  </si>
  <si>
    <t>905</t>
  </si>
  <si>
    <t>Создание условий для эффективного и ответственного управления муниципальными финансами</t>
  </si>
  <si>
    <t xml:space="preserve">Выравнивание финансовых возможностей бюджетов </t>
  </si>
  <si>
    <t>Прочие субсидии</t>
  </si>
  <si>
    <t xml:space="preserve">Прочие субсидии бюджетам муниципальных районов, в том числе: </t>
  </si>
  <si>
    <t>Субсидии бюджетам бюджетной системы Российской Федерации (межбюджетные субсидии)*</t>
  </si>
  <si>
    <t>Создание условий для развития санаторно-курортного и туристского комплекса муниципального образования Апшеронский район</t>
  </si>
  <si>
    <t>1 11 05075 05 0000 120</t>
  </si>
  <si>
    <t>1 05 01000 00 0000 110</t>
  </si>
  <si>
    <t>Налог, взимаемый в связи с применением упрощенной системы налогообложения*</t>
  </si>
  <si>
    <t>Безвозмездные поступления</t>
  </si>
  <si>
    <t xml:space="preserve">* По видам и подвидам доходов, входящим в соответствующий группировочный код бюджетной классификации, зачисляемым в районный бюджет в соответствии с законодательством Российской Федерации.   </t>
  </si>
  <si>
    <t>Всего</t>
  </si>
  <si>
    <t>926</t>
  </si>
  <si>
    <t>Реализация мероприятий муниципальной программы  "Развитие культуры"</t>
  </si>
  <si>
    <t>10300</t>
  </si>
  <si>
    <t>Содействие развитию библиотечного дела</t>
  </si>
  <si>
    <t>20020</t>
  </si>
  <si>
    <t>Содействие развитию культурно-досуговых организаций</t>
  </si>
  <si>
    <t>Организация, проведение и участие в конкурсах, фестивалях, концертах, выставках, приемах, конференциях, форумах, акциях, праздниках, семинарах, экспедициях в рамках их организации и поддержки</t>
  </si>
  <si>
    <t xml:space="preserve">Другие вопросы в области культуры, кинематографии </t>
  </si>
  <si>
    <t>Физическая культура и спорт</t>
  </si>
  <si>
    <t>Обеспечение деятельности  муниципального казенного учреждения "Ситуационный центр "Комплексное обеспечение безопасности жизнедеятельности"</t>
  </si>
  <si>
    <t>Осуществление части полномочий по решению вопросов местного значения в соответствии с заключенными соглашениями</t>
  </si>
  <si>
    <t>Рз,Пр</t>
  </si>
  <si>
    <t>000 01 05 02 01 00 0000 510</t>
  </si>
  <si>
    <t>Сохранение и развитие традиционной народной культуры муниципального образования</t>
  </si>
  <si>
    <t xml:space="preserve">Сохранение и развитие традиционной народной культуры муниципального образования </t>
  </si>
  <si>
    <t>Единый налог на вмененный доход для отдельных видов деятельности</t>
  </si>
  <si>
    <t>10670</t>
  </si>
  <si>
    <t>10690</t>
  </si>
  <si>
    <t>10680</t>
  </si>
  <si>
    <t>Реализация полномочий в области строительства, архитектуры и градостроительства</t>
  </si>
  <si>
    <t xml:space="preserve">Муниципальная программа муниципального образования Апшеронский район "Развитие топливно-энергетического комплекса и жилищно-коммунального хозяйства" </t>
  </si>
  <si>
    <t>Коммунальное хозяйство</t>
  </si>
  <si>
    <t>Газификация населенных пунктов поселений муниципального образования Апшеронский район</t>
  </si>
  <si>
    <t>0502</t>
  </si>
  <si>
    <t>10820</t>
  </si>
  <si>
    <t>Выполнение других обязательств муниципального образования</t>
  </si>
  <si>
    <t>Содержание имущества, находящегося в муниципальной казне</t>
  </si>
  <si>
    <t>Основные мероприятия муниципальной программы</t>
  </si>
  <si>
    <t>Иные межбюджетные трансферты на организацию участия аварийно-спасательного отряда в ликвидации чрезвычайных ситуаций и иных происшествий на территории сельских поселений Апшеронского района</t>
  </si>
  <si>
    <t>Иные межбюджетные трансферты на реализацию полномочий по участию в профилактике терроризма и экстремизма, а также в минимизации и (или) ликвидации последствий проявлений терроризма и экстремизма в границах поселения</t>
  </si>
  <si>
    <t>Иные межбюджетные трансферты на реализацию полномочий по организации и осуществлению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</t>
  </si>
  <si>
    <t xml:space="preserve">Дотации бюджетам бюджетной системы Российской Федерации </t>
  </si>
  <si>
    <t>Субвенции бюджетам бюджетной системы Российской Федерации</t>
  </si>
  <si>
    <t>Субвенции бюджетам бюджетной системы Российской Федерации*</t>
  </si>
  <si>
    <t xml:space="preserve">Дотации бюджетам бюджетной системы Российской Федерации* </t>
  </si>
  <si>
    <t>субвенции на осуществление государственных полномочий по финансовому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</t>
  </si>
  <si>
    <t>Осуществление государственных полномочий по финансовому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</t>
  </si>
  <si>
    <t>62500</t>
  </si>
  <si>
    <t>1 11 09045 05 0000 120</t>
  </si>
  <si>
    <t>0703</t>
  </si>
  <si>
    <t>Дополнительное образование детей</t>
  </si>
  <si>
    <t xml:space="preserve">Молодежная политика </t>
  </si>
  <si>
    <t>Информатизация деятельности органов местного самоуправления</t>
  </si>
  <si>
    <t>Мероприятия по информатизации администрации муниципального образования, ее отраслевых (функциональных) органов</t>
  </si>
  <si>
    <t>11840</t>
  </si>
  <si>
    <t>Обеспечение информационной открытости и доступности информации о деятельности органов местного самоуправления</t>
  </si>
  <si>
    <t>Пенсионное обеспечение</t>
  </si>
  <si>
    <t>11850</t>
  </si>
  <si>
    <t>Осуществление отдельных государственных полномочий по выплате ежемесячных денежных средств на содержание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приемную семью</t>
  </si>
  <si>
    <t>Осуществление отдельных государственных полномочий по выплате ежемесячного вознаграждения, причитающегося приемным родителям за оказание услуг по воспитанию приемных детей</t>
  </si>
  <si>
    <t>Осуществление отдельных государственных полномочий по выплате ежемесячных денежных средств на содержание детей, нуждающихся в особой заботе государства, переданных на патронатное воспитание</t>
  </si>
  <si>
    <t>Физическая культура</t>
  </si>
  <si>
    <t>Содействие развитию спортивных организаций</t>
  </si>
  <si>
    <t>Условно утвержденные расходы</t>
  </si>
  <si>
    <t>% УУР</t>
  </si>
  <si>
    <t>УУР</t>
  </si>
  <si>
    <t>Осуществление отдельных государственных полномочий по выплате ежемесячного вознаграждения, причитающегося патронатным воспитателям за оказание услуг по осуществлению патронатного воспитания и постинтернатного сопровождения</t>
  </si>
  <si>
    <t>аппарат соцсферы</t>
  </si>
  <si>
    <t>соцкультсфера (без аппарата)</t>
  </si>
  <si>
    <t>Система комплексного обеспечения безопасности жизнедеятельности муниципального образования. Построение и развитие АПК "Безопасный город"</t>
  </si>
  <si>
    <t>Субсидии бюджетам бюджетной системы Российской Федерации (межбюджетные субсидии)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</si>
  <si>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</si>
  <si>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10810</t>
  </si>
  <si>
    <t>Мероприятия по землеустройству и землепользованию</t>
  </si>
  <si>
    <t>Обеспечение строительства газопроводов на территории муниципального образования Апшеронский район</t>
  </si>
  <si>
    <t>20030</t>
  </si>
  <si>
    <t>Осуществление части полномочий по исполнению бюджета поселения</t>
  </si>
  <si>
    <t>Прочие обязательства муниципального образования</t>
  </si>
  <si>
    <t>62600</t>
  </si>
  <si>
    <t>Осуществление отдельных государственных полномочий Краснодарского края по формированию и утверждению списков граждан Российской Федерации, пострадавших в результате чрезвычайных ситуаций регионального и межмуниципального характера на территории Краснодарского края, и членов семей граждан Российской Федерации, погибших (умерших) в результате этих чрезвычайных ситуаций</t>
  </si>
  <si>
    <t>Начальник Финансового управления</t>
  </si>
  <si>
    <t xml:space="preserve">администрации муниципального образования </t>
  </si>
  <si>
    <t>Апшеронский район</t>
  </si>
  <si>
    <t>РУО</t>
  </si>
  <si>
    <t>Обеспечение своевременности и полноты исполнения долговых обязательств муниципального образования</t>
  </si>
  <si>
    <t>Процентные платежи по муниципальному долгу</t>
  </si>
  <si>
    <t>11810</t>
  </si>
  <si>
    <t>Обслуживание государственного (муниципального) долга</t>
  </si>
  <si>
    <t>700</t>
  </si>
  <si>
    <t>11880</t>
  </si>
  <si>
    <t>Материально-техническое обеспечение деятельности органов местного самоуправления муниципального образования</t>
  </si>
  <si>
    <t>09020</t>
  </si>
  <si>
    <t>000 01 03 00 00 00 0000 000</t>
  </si>
  <si>
    <t>000 01 03 01 00 00 0000 000</t>
  </si>
  <si>
    <t>000 01 03 01 00 00 0000 800</t>
  </si>
  <si>
    <t>000 01 03 01 00 05 0000 810</t>
  </si>
  <si>
    <t>1300</t>
  </si>
  <si>
    <t>1301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</si>
  <si>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</si>
  <si>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на осуществление отдельных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родителей, в соответствии с Законом Краснодарского края "Об обеспечении дополнительных гарантий прав на имущество и жилое помещение детей-сирот и детей, оставшихся без попечения родителей, в Краснодарском крае"</t>
  </si>
  <si>
    <t>Судебная система</t>
  </si>
  <si>
    <t>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</si>
  <si>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</si>
  <si>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1 13 00000 00 0000 000</t>
  </si>
  <si>
    <t>О.В.Чуйко</t>
  </si>
  <si>
    <t>0105</t>
  </si>
  <si>
    <t>Районный бюджет</t>
  </si>
  <si>
    <t>Бюджеты городских поселений</t>
  </si>
  <si>
    <t>Бюджеты сельских поселений</t>
  </si>
  <si>
    <t>Доходы от погашения задолженности и перерасчетов по отмененным налогам, сборам и иным обязательным платежам</t>
  </si>
  <si>
    <t>Налог на рекламу, мобилизуемый на территориях муниципальных районов</t>
  </si>
  <si>
    <t xml:space="preserve">Курортный сбор, мобилизуемый на территориях муниципальных районов 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</si>
  <si>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</si>
  <si>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Лицензионный сбор за право торговли спиртными напитками, мобилизуемый на территориях муниципальных районов</t>
  </si>
  <si>
    <t>Прочие местные налоги и сборы, мобилизуемые на территориях муниципальных районов</t>
  </si>
  <si>
    <t>Доходы от использования имущества, находящегося в муниципальной собственности</t>
  </si>
  <si>
    <t>Доходы от размещения временно свободных средств бюджетов муниципальных районов</t>
  </si>
  <si>
    <t>Доходы от размещения временно свободных средств бюджетов городских поселений</t>
  </si>
  <si>
    <t>Доходы от размещения временно свободных средств бюджетов сельских поселений</t>
  </si>
  <si>
    <t>Прочие доходы от оказания платных услуг (работ) получателями средств бюджетов городских поселений</t>
  </si>
  <si>
    <t>Прочие доходы от оказания платных услуг (работ) получателями средств бюджетов сельских поселений</t>
  </si>
  <si>
    <t>Доходы, поступающие в порядке возмещения расходов, понесенных в связи с эксплуатацией имущества муниципальных районов</t>
  </si>
  <si>
    <t>Доходы, поступающие в порядке возмещения расходов, понесенных в связи с эксплуатацией имущества городских поселений</t>
  </si>
  <si>
    <t>Доходы, поступающие в порядке возмещения расходов, понесенных в связи с эксплуатацией имущества сельских поселений</t>
  </si>
  <si>
    <t>Прочие доходы от компенсации затрат бюджетов муниципальных районов</t>
  </si>
  <si>
    <t>Прочие доходы от компенсации затрат бюджетов городских поселений</t>
  </si>
  <si>
    <t>Прочие доходы от компенсации затрат бюджетов сельских поселений</t>
  </si>
  <si>
    <t>Административные платежи и сборы</t>
  </si>
  <si>
    <t>Платежи, взимаемые органами местного самоуправления (организациями) муниципальных районов за выполнение определенных функций</t>
  </si>
  <si>
    <t>Платежи, взимаемые органами местного самоуправления (организациями) городских поселений за выполнение определенных функций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</si>
  <si>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</si>
  <si>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Штрафы, санкции, возмещение ущерба</t>
  </si>
  <si>
    <t>Прочие неналоговые доходы</t>
  </si>
  <si>
    <t>Невыясненные поступления, зачисляемые в бюджеты городских поселений</t>
  </si>
  <si>
    <t>Невыясненные поступления, зачисляемые в бюджеты сельских поселений</t>
  </si>
  <si>
    <t>Прочие неналоговые доходы бюджетов муниципальных районов</t>
  </si>
  <si>
    <t>Прочие неналоговые доходы бюджетов городских поселений</t>
  </si>
  <si>
    <t>Прочие неналоговые доходы бюджетов сельских поселений</t>
  </si>
  <si>
    <t>Возмещение потерь сельскохозяйственного производства, связанных с изъятием сельскохозяйственных угодий, расположенных на территориях городских поселений (по обязательствам, возникшим до 1 января 2008 года)</t>
  </si>
  <si>
    <t>Возмещение потерь сельскохозяйственного производства, связанных с изъятием сельскохозяйственных угодий, расположенных на территориях сельских поселений (по обязательствам, возникшим до 1 января 2008 года)</t>
  </si>
  <si>
    <t>Средства самообложения граждан, зачисляемые в бюджеты муниципальных районов</t>
  </si>
  <si>
    <t>Средства самообложения граждан, зачисляемые в бюджеты городских поселений</t>
  </si>
  <si>
    <t>Средства самообложения граждан, зачисляемые в бюджеты сельских поселений</t>
  </si>
  <si>
    <t>60740</t>
  </si>
  <si>
    <t>2 02 29999 05 0000 150</t>
  </si>
  <si>
    <t>2 02 30024 05 0000 150</t>
  </si>
  <si>
    <t>2 02 35120 05 0000 150</t>
  </si>
  <si>
    <t>2 02 15001 05 0000 150</t>
  </si>
  <si>
    <t>2 02 30029 05 0000 150</t>
  </si>
  <si>
    <t>2 02 10000 00 0000 150</t>
  </si>
  <si>
    <t>2 02 15001 00 0000 150</t>
  </si>
  <si>
    <t>2 02 20000 00 0000 150</t>
  </si>
  <si>
    <t>2 02 29999 00 0000 150</t>
  </si>
  <si>
    <t>2 02 30000 00 0000 150</t>
  </si>
  <si>
    <t>2 02 30024 00 0000 150</t>
  </si>
  <si>
    <t>2 02 30029 00 0000 150</t>
  </si>
  <si>
    <t>2 02 35120 00 0000 150</t>
  </si>
  <si>
    <t>Доходы от оказания платных услуг и компенсации затрат государства*</t>
  </si>
  <si>
    <t>(процентов)</t>
  </si>
  <si>
    <t>Доходы от оказания платных услуг и компенсации затрат государства</t>
  </si>
  <si>
    <t>10700</t>
  </si>
  <si>
    <t>2 02 40000 00 0000 150</t>
  </si>
  <si>
    <t>2022 год</t>
  </si>
  <si>
    <t>субсидии на обеспечение условий для развития физической культуры и массового спорта в части оплаты труда инструкторов по спорту</t>
  </si>
  <si>
    <t>Осуществление отдельных государственных полномочий Краснодарского края по поддержке сельскохозяйственного производства</t>
  </si>
  <si>
    <t>S2820</t>
  </si>
  <si>
    <t>Совершенствование спортивной инфраструктуры и материально-технической базы для занятий физической культурой и массовым спортом</t>
  </si>
  <si>
    <t>16</t>
  </si>
  <si>
    <t>Создание условий для организации досуга и обеспечения жителей услугами организаций культуры</t>
  </si>
  <si>
    <t>S0560</t>
  </si>
  <si>
    <t>921</t>
  </si>
  <si>
    <t>S0620</t>
  </si>
  <si>
    <t>Осуществление отдельных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</si>
  <si>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С0820</t>
  </si>
  <si>
    <t>2 02 20077 05 0000 150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</si>
  <si>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</si>
  <si>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2 02 20077 00 0000 150</t>
  </si>
  <si>
    <t>Субсидии бюджетам на софинансирование капитальных вложений в объекты муниципальной собственности</t>
  </si>
  <si>
    <t>субвенции на 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физкультурно-спортивных организаций отрасли "Физическая культура и спорт" и муниципальных организаций дополнительного образования, реализующих дополнительные общеобразовательные программы в области физической культуры и спорта, отрасли "Образование"</t>
  </si>
  <si>
    <t>субвенции на осуществление отдельных государственных полномочий Краснодарского края по поддержке сельскохозяйственного производства</t>
  </si>
  <si>
    <t xml:space="preserve">субвенции на осуществление отдельных государственных полномочий Краснодарского края по формированию и утверждению списков граждан Российской Федерации, пострадавших в результате чрезвычайных ситуаций регионального и межмуниципального характера на территории Краснодарского края, и членов семей граждан Российской Федерации, погибших (умерших) в результате этих чрезвычайных ситуаций </t>
  </si>
  <si>
    <t>муниципальные дошкольные образовательные организации, общеобразовательные организации, организации дополнительного   образования (в области образования)</t>
  </si>
  <si>
    <t xml:space="preserve">субсидии на участие в профилактике терроризма в части обеспечения инженерно-технической защищенности муниципальных образовательных организаций
</t>
  </si>
  <si>
    <t>925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</si>
  <si>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</si>
  <si>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</si>
  <si>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1 06 02000 02 0000 110</t>
  </si>
  <si>
    <t>Налог на имущество организаций*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</si>
  <si>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</si>
  <si>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Профилактика терроризма</t>
  </si>
  <si>
    <t>S0460</t>
  </si>
  <si>
    <t>Иные межбюджетные трансферты бюджетам бюджетной системы Российской Федерации</t>
  </si>
  <si>
    <t>Иные межбюджетные трансферты</t>
  </si>
  <si>
    <t>Осуществление отдельных государственных полномочий по материально-техническому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работникам, участвующим в проведении указанной государственной итоговой аттестации,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</t>
  </si>
  <si>
    <t xml:space="preserve">Осуществление отдельных государственных полномочий по материально-техническому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работникам, участвующим в проведении указанной государственной итоговой аттестации,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</t>
  </si>
  <si>
    <t>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физкультурно-спортивных организаций отрасли "Физическая культура и спорт" и муниципальных организаций дополнительного образования, реализующих дополнительные общеобразовательные программы в области физической культуры и спорта, отрасли "Образование"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</si>
  <si>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</si>
  <si>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Муниципальная программа муниципального образования Апшеронский район «Развитие образования»</t>
  </si>
  <si>
    <t>Обеспечение условий для развития физической культуры и массового спорта в части оплаты труда инструкторов по спорту</t>
  </si>
  <si>
    <t>63110</t>
  </si>
  <si>
    <t>Осуществление отдельных государственных полномочий Краснодарского края по обеспечению отдыха детей в каникулярное время в профильных лагерях, организованных муниципальными общеобразовательными организациями Краснодарского края</t>
  </si>
  <si>
    <t>субвенции на осуществление отдельных государственных полномочий Краснодарского края по обеспечению отдыха детей в каникулярное время в профильных лагерях, организованных муниципальными общеобразовательными организациями Краснодарского края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</si>
  <si>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</si>
  <si>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</si>
  <si>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</si>
  <si>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</si>
  <si>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поселений)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</si>
  <si>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</si>
  <si>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 xml:space="preserve"> </t>
  </si>
  <si>
    <t xml:space="preserve">Выплата пенсии за выслугу лет лицам, замещавшим муниципальные должности и должности муниципальной службы в органах местного самоуправления </t>
  </si>
  <si>
    <t>Осуществление отдельных государственных полномочий Краснодарского края по формированию и утверждению списков граждан, лишившихся жилого помещения в результате чрезвычайной ситуации</t>
  </si>
  <si>
    <t>Резервный фонд администрации муниципального образования</t>
  </si>
  <si>
    <t>Непрограммные расходы органов местного самоуправления</t>
  </si>
  <si>
    <t>Непрограммные расходы</t>
  </si>
  <si>
    <t>Меры государственной поддержки лиц, замещавших муниципальные должности и должности муниципальной службы муниципального образования Апшеронский район</t>
  </si>
  <si>
    <t>Меры государственной поддержки лиц, замещавших муниципальные должности и  должности муниципальной службы муниципального образования Апшеронский район</t>
  </si>
  <si>
    <t xml:space="preserve">Непрограммные расходы органов 
местного самоуправления
</t>
  </si>
  <si>
    <t>Мероприятия по предупреждению и ликвидации чрезвычайных ситуаций</t>
  </si>
  <si>
    <t>Осуществление отдельных государственных полномочий по ведению учета граждан отдельных категорий в качестве нуждающихся в жилых помещениях и по формированию списка детей-сирот и детей, оставшихся без попечения родителей, лиц из числа детей-сирот и детей, оставшихся без попечения родителей, лиц, относившихся к категории детей-сирот и детей, оставшихся без попечения родителей, подлежащих обеспечению жилыми помещениями</t>
  </si>
  <si>
    <t>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</si>
  <si>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</si>
  <si>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</si>
  <si>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</si>
  <si>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2 02 25304 00 0000 150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</si>
  <si>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</t>
  </si>
  <si>
    <t>Обслуживание государственного (муниципального) внутреннего долга</t>
  </si>
  <si>
    <t>2023 год</t>
  </si>
  <si>
    <t>Осуществление отдельных государственных полномочий Краснодарского края по организации и обеспечению отдыха и оздоровления детей (за исключением организации отдыха детей в каникулярное время)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</si>
  <si>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</si>
  <si>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</si>
  <si>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</si>
  <si>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субсидии на организацию газоснабжения населения (поселений) (строительство подводящих газопроводов, 
распределительных газопроводов)</t>
  </si>
  <si>
    <t>Расходы на обеспечение деятельности (оказание услуг) муниципальных учреждений</t>
  </si>
  <si>
    <t>Осуществление капитального ремонта</t>
  </si>
  <si>
    <t>Мероприятия по пожарной безопасности</t>
  </si>
  <si>
    <t>10640</t>
  </si>
  <si>
    <t>Пожарная безопасность в органах местного самоуправления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</si>
  <si>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</si>
  <si>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2 02 20299 00 0000 150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</si>
  <si>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</si>
  <si>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2 02 20299 05 0000 150</t>
  </si>
  <si>
    <t>2 02 20302 05 0000 150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</si>
  <si>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</si>
  <si>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Молодежная политика</t>
  </si>
  <si>
    <t>00400</t>
  </si>
  <si>
    <t>Мероприятия по организации отдыха детей в каникулярное время</t>
  </si>
  <si>
    <t>Профилактика терроризма и экстремизма в органах местного самоуправления</t>
  </si>
  <si>
    <t xml:space="preserve">Мероприятия по информатизации администрации муниципального образования, ее отраслевых (функциональных) органов </t>
  </si>
  <si>
    <t xml:space="preserve">Мероприятия по пожарной безопасности </t>
  </si>
  <si>
    <t>F3</t>
  </si>
  <si>
    <t>67483</t>
  </si>
  <si>
    <t>67484</t>
  </si>
  <si>
    <t>Федеральный проект "Обеспечение устойчивого сокращения непригодного для проживания жилищного фонда"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</si>
  <si>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</si>
  <si>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Жилищное хозяйство</t>
  </si>
  <si>
    <t xml:space="preserve">Доходы от уплаты акцизов на дизельное топливо, моторные масла для дизельных и (или) карбюраторных (инжекторных) двигателей,  автомобильный бензин,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бюджеты*
</t>
  </si>
  <si>
    <t>Бюджетные кредиты из других бюджетов бюджетной системы Российской Федерации в валюте Российской Федерации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</si>
  <si>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</si>
  <si>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</si>
  <si>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Бюджетные кредиты из других бюджетов бюджетной системы Российской Федерации</t>
  </si>
  <si>
    <t>Переселение граждан из аварийного жилищного фонда</t>
  </si>
  <si>
    <t>8</t>
  </si>
  <si>
    <t>Наименование кода группы, подгруппы, статьи, элемента, подвида, аналитической группы вида источников финансирования дефицитов бюджетов</t>
  </si>
  <si>
    <t>субвенции на осуществление отдельных государственных полномочий по материально-техническому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работникам, участвующим в проведении государственной итоговой аттестации по образовательным программам основного общего и среднего общего образования, компенсации за работу по подготовке и проведению указанной государственной итоговой аттестации</t>
  </si>
  <si>
    <t>2 02 25228 00 0000 150</t>
  </si>
  <si>
    <t>Субсидии бюджетам на оснащение объектов спортивной инфраструктуры спортивно-технологическим оборудованием</t>
  </si>
  <si>
    <t>2 02 25228 05 0000 150</t>
  </si>
  <si>
    <t>Субсидии бюджетам муниципальных районов на оснащение объектов спортивной инфраструктуры спортивно-технологическим оборудованием</t>
  </si>
  <si>
    <t>P5</t>
  </si>
  <si>
    <t>Федеральный проект "Спорт – норма жизни"</t>
  </si>
  <si>
    <t>Оснащение объектов спортивной инфраструктуры спортивно-технологическим оборудованием</t>
  </si>
  <si>
    <t>Укрепление правопорядка, профилактика правонарушений, усиление борьбы с преступностью в муниципальном образовании</t>
  </si>
  <si>
    <t>Повышение эффективности мер, принимаемых для охраны общественного порядка и профилактики правонарушений  в муниципальном образовании</t>
  </si>
  <si>
    <t>1 11 00000 00 0000 000</t>
  </si>
  <si>
    <t>Доходы от использования имущества, находящегося в государственной и муниципальной собственности*, в том числе: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</si>
  <si>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 муниципальным районам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</si>
  <si>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участков*</t>
  </si>
  <si>
    <t>доходы от сдачи в аренду имущества, составляющего казну муниципальных районов (за исключением земельных участков)</t>
  </si>
  <si>
    <t>доходы от перечисления части прибыли, остающейся после уплаты налогов и иных обязательных  платежей муниципальных унитарных предприятий, созданных муниципальными районами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</si>
  <si>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</si>
  <si>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52280</t>
  </si>
  <si>
    <t>1 09 07013 05</t>
  </si>
  <si>
    <t>1 09 07022 05</t>
  </si>
  <si>
    <t>1 09 07033 05</t>
  </si>
  <si>
    <t>1 09 07043 05</t>
  </si>
  <si>
    <t>1 09 07053 05</t>
  </si>
  <si>
    <t>1 11 02033 05</t>
  </si>
  <si>
    <t>1 11 02033 10</t>
  </si>
  <si>
    <t>1 11 02033 13</t>
  </si>
  <si>
    <t>1 13 01995 05</t>
  </si>
  <si>
    <t>1 13 01995 10</t>
  </si>
  <si>
    <t>1 13 01995 13</t>
  </si>
  <si>
    <t>1 13 02065 05</t>
  </si>
  <si>
    <t>1 13 02065 10</t>
  </si>
  <si>
    <t>1 13 02065 13</t>
  </si>
  <si>
    <t>1 13 02995 05</t>
  </si>
  <si>
    <t>1 13 02995 10</t>
  </si>
  <si>
    <t>1 13 02995 13</t>
  </si>
  <si>
    <t>1 15 02050 05</t>
  </si>
  <si>
    <t>1 15 02050 10</t>
  </si>
  <si>
    <t>1 15 02050 13</t>
  </si>
  <si>
    <t>1 16 10061 05</t>
  </si>
  <si>
    <t>1 16 10061 10</t>
  </si>
  <si>
    <t>1 16 10061 13</t>
  </si>
  <si>
    <t>1 16 10062 05</t>
  </si>
  <si>
    <t>1 16 10062 10</t>
  </si>
  <si>
    <t>1 16 10062 13</t>
  </si>
  <si>
    <t>1 16 10100 05</t>
  </si>
  <si>
    <t>1 16 10100 10</t>
  </si>
  <si>
    <t>1 16 10100 13</t>
  </si>
  <si>
    <t>1 17 01050 05</t>
  </si>
  <si>
    <t>1 17 01050 10</t>
  </si>
  <si>
    <t>1 17 01050 13</t>
  </si>
  <si>
    <t>1 17 02020 10</t>
  </si>
  <si>
    <t>1 17 02020 13</t>
  </si>
  <si>
    <t>1 17 05050 05</t>
  </si>
  <si>
    <t>1 17 05050 10</t>
  </si>
  <si>
    <t>1 17 05050 13</t>
  </si>
  <si>
    <t>1 17 14030 05</t>
  </si>
  <si>
    <t>1 17 14030 10</t>
  </si>
  <si>
    <t>1 17 14030 13</t>
  </si>
  <si>
    <t>1 17 15030 05</t>
  </si>
  <si>
    <t>Инициативные платежи, зачисляемые в бюджеты муниципальных районов</t>
  </si>
  <si>
    <t>1 17 15030 10</t>
  </si>
  <si>
    <t>Инициативные платежи, зачисляемые в бюджеты сельских поселений</t>
  </si>
  <si>
    <t>1 17 15030 13</t>
  </si>
  <si>
    <t>Инициативные платежи, зачисляемые в бюджеты городских поселений</t>
  </si>
  <si>
    <t>Благоустройство</t>
  </si>
  <si>
    <t>Муниципальная программа муниципального образования Апшеронский район "Развитие топливно-энергетического комплекса и жилищно-коммунального хозяйства"</t>
  </si>
  <si>
    <t>Обращение с твердыми коммунальными отходами на территории сельских поселений Апшеронского района</t>
  </si>
  <si>
    <t>Обеспечение мероприятий в области обращения с твердыми коммунальными отходами</t>
  </si>
  <si>
    <t>Создание и содержание мест (площадок) накопления твердых коммунальных отходов</t>
  </si>
  <si>
    <t>11200</t>
  </si>
  <si>
    <t>0503</t>
  </si>
  <si>
    <t>Организация газоснабжения населения (поселений) (строительство подводящих газопроводов, распределительных газопроводов)</t>
  </si>
  <si>
    <t>субсидии на защиту населения и территории муниципального образования от чрезвычайных ситуаций природного характера на объектах туристского показа, находящихся в муниципальной собственности</t>
  </si>
  <si>
    <t>субсидии на создание условий для организации досуга и обеспечения жителей поселения, городского округа услугами организаций культуры, либо по созданию условий для обеспечения поселений, входящих в состав муниципального района, услугами по организации досуга и услугами организаций культуры, а также по созданию условий для развития местного традиционного народного художественного творчества, участию в сохранении, возрождении и развитии народных художественных промыслов в поселении, городском округе либо по созданию условий для развития местного традиционного народного художественного творчества в поселениях, входящих в состав муниципального района</t>
  </si>
  <si>
    <t>S0470</t>
  </si>
  <si>
    <t>Строительство, реконструкция (в том числе реконструкция объектов незавершенного строительства) и техническое перевооружение объектов общественной инфраструктуры муниципального значения, приобретение объектов недвижимости</t>
  </si>
  <si>
    <t>11190</t>
  </si>
  <si>
    <t>Обеспечение прочих мероприятий по благоустройству</t>
  </si>
  <si>
    <t xml:space="preserve">Прочие мероприятия по благоустройству </t>
  </si>
  <si>
    <t>Объем поступлений доходов в районный бюджет по кодам видов (подвидов) доходов на 2022 год и плановый период 2023 и 2024 годов</t>
  </si>
  <si>
    <t>на 2022 год и плановый период 2023 и 2024 годов</t>
  </si>
  <si>
    <t>Распределение бюджетных ассигнований по целевым статьям (муниципальным программам муниципального образования Апшеронский район и непрограммным направлениям деятельности),  группам видов расходов классификации расходов бюджетов на 2022 год</t>
  </si>
  <si>
    <t>Источники финансирования дефицита районного бюджета,                                                                                                                                                                                                                                                                перечень статей источников финансирования дефицитов бюджетов на 2022 год и плановый период 2023 и 2024 годов</t>
  </si>
  <si>
    <t>2024 год</t>
  </si>
  <si>
    <t>классификации расходов бюджетов на 2022 год и плановый период 2023 и 2024 годов</t>
  </si>
  <si>
    <t>Безвозмездные поступления из краевого бюджета в 2022 году</t>
  </si>
  <si>
    <t>Безвозмездные поступления из краевого бюджета в 2023 и 2024 годах</t>
  </si>
  <si>
    <t>субвенции на осуществление государственных полномочий Краснодарского края в области обращения с животными, предусмотренных законодательством в области обращения с животными, в том числе организации мероприятий при осуществлении деятельности по обращению с животными без владельцев на территории муниципальных образований Краснодарского края и федеральной территории "Сириус"</t>
  </si>
  <si>
    <t>2 02 35303 00 0000 150</t>
  </si>
  <si>
    <t>2 02 35303 05 0000 150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</si>
  <si>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</si>
  <si>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</si>
  <si>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Объем межбюджетных трансфертов, предоставляемых другим бюджетам бюджетной системы Российской Федерации, на 2022 год и плановый период 2023 и 2024 годов</t>
  </si>
  <si>
    <t>субсидии на участие в профилактике терроризма в части обеспечения инженерно-технической защищенности муниципальных образовательных организаций</t>
  </si>
  <si>
    <t>Ведомственная структура расходов районного бюджета на 2022 год</t>
  </si>
  <si>
    <t>Распределение бюджетных ассигнований по целевым статьям (муниципальным программам муниципального образования Апшеронский район и непрограммным направлениям деятельности),  группам видов расходов классификации расходов бюджетов                                                                                                                                                                                                                                                                                  на 2023 и 2024 годы</t>
  </si>
  <si>
    <t>Ведомственная структура расходов районного бюджета на 2023 и 2024 годы</t>
  </si>
  <si>
    <t xml:space="preserve">                                Приложение 1 к решению Совета муниципального образования</t>
  </si>
  <si>
    <t xml:space="preserve">                                Приложение 2 к решению Совета муниципального образования</t>
  </si>
  <si>
    <t xml:space="preserve">                                Приложение 3 к решению Совета муниципального образования</t>
  </si>
  <si>
    <t xml:space="preserve">                                Приложение 4 к решению Совета муниципального образования</t>
  </si>
  <si>
    <t>Приложение 5 к решению Совета муниципального образования</t>
  </si>
  <si>
    <t xml:space="preserve">                                Приложение 6 к решению Совета муниципального образования</t>
  </si>
  <si>
    <t xml:space="preserve">                                Приложение 7 к решению Совета муниципального образования</t>
  </si>
  <si>
    <t xml:space="preserve">                                Приложение 8 к решению Совета муниципального образования</t>
  </si>
  <si>
    <t xml:space="preserve">                                Приложение 9 к решению Совета муниципального образования</t>
  </si>
  <si>
    <t xml:space="preserve">                                Приложение 10 к решению Совета муниципального образования</t>
  </si>
  <si>
    <t xml:space="preserve">                                Приложение 11 к решению Совета муниципального образования</t>
  </si>
  <si>
    <t xml:space="preserve">                                Приложение 12 к решению Совета муниципального образования</t>
  </si>
  <si>
    <t>6748S</t>
  </si>
  <si>
    <t>2 02 20302 00 0000 150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</si>
  <si>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</si>
  <si>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0501</t>
  </si>
  <si>
    <t>Мероприятия по профилактике детского дорожно-транспортного травматизма в муниципальных образовательных учреждениях</t>
  </si>
  <si>
    <t>10220</t>
  </si>
  <si>
    <t>53032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</si>
  <si>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(субвенции на обеспечение выплат ежемесячного денежного вознаграждения за классное руководство педагогическим работникам муниципальных общеобразовательных организаций)</t>
  </si>
  <si>
    <t>________________________</t>
  </si>
  <si>
    <t>S3350</t>
  </si>
  <si>
    <t>Осуществление государственных полномочий Краснодарского края в области обращения с животными, предусмотренных законодательством в области обращения с животными, в том числе организации мероприятий при осуществлении деятельности по обращению с животными без владельцев на территории муниципальных образований Краснодарского края и федеральной территории "Сириус"</t>
  </si>
  <si>
    <t>Защита населения и территории муниципальных образований от чрезвычайных ситуаций природного характера на объектах туристского показа, находящихся в муниципальной собственности</t>
  </si>
  <si>
    <t>10830</t>
  </si>
  <si>
    <t>Внесение вкладов в имущество</t>
  </si>
  <si>
    <t>Внесение вкладов в имущество ООО "Тепловые сети Апшеронского района"</t>
  </si>
  <si>
    <t>до изменений (скрыть)</t>
  </si>
  <si>
    <t>10230</t>
  </si>
  <si>
    <t>Обеспечение функционирования системы персонифицированного финансирования дополнительного образования детей</t>
  </si>
  <si>
    <t>0705</t>
  </si>
  <si>
    <t>Профессиональная подготовка, переподготовка и повышение квалификации</t>
  </si>
  <si>
    <t>10240</t>
  </si>
  <si>
    <t>Мероприятия по переподготовке и повышению квалификации кадров</t>
  </si>
  <si>
    <t>субсидии на строительство, реконструкцию (в том числе реконструкцию объектов незавершенного строительства) и техническое перевооружение объектов общественной инфраструктуры муниципального значения, приобретение объектов недвижимости</t>
  </si>
  <si>
    <t>субсидии на организацию и обеспечение бесплатным горячим питанием обучающихся с ограниченными возможностями здоровья в муниципальных общеобразовательных организациях</t>
  </si>
  <si>
    <t>Ремонт и укрепление материально-технической базы, техническое оснащение муниципальных учреждений культуры и (или) детских музыкальных школ, художественных школ, школ искусств, домов детского творчества</t>
  </si>
  <si>
    <t>S0640</t>
  </si>
  <si>
    <t>субсидии на ремонт и укрепление материально-технической базы, техническое оснащение муниципальных учреждений культуры и (или) детских музыкальных школ, художественных школ, школ искусств, домов детского творчества</t>
  </si>
  <si>
    <t>субсидии на организацию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(капитальный ремонт зданий и сооружений, благоустройство территорий, прилегающих к зданиям и сооружениям муниципальных образовательных организаций)</t>
  </si>
  <si>
    <t>субсидии на подготовку изменений в генеральные планы муниципальных образований Краснодарского края</t>
  </si>
  <si>
    <t>S2560</t>
  </si>
  <si>
    <t>Подготовка изменений в генеральные планы муниципальных образований Краснодарского края</t>
  </si>
  <si>
    <t>69200</t>
  </si>
  <si>
    <t>69180</t>
  </si>
  <si>
    <t>69190</t>
  </si>
  <si>
    <t>69100</t>
  </si>
  <si>
    <t>69130</t>
  </si>
  <si>
    <t>69110</t>
  </si>
  <si>
    <t>69140</t>
  </si>
  <si>
    <t>69170</t>
  </si>
  <si>
    <t>S3550</t>
  </si>
  <si>
    <t>Организация и обеспечение бесплатным горячим питанием обучающихся с ограниченными возможностями здоровья в муниципальных общеобразовательных организациях</t>
  </si>
  <si>
    <t>субвенции на осуществление отдельных государственных полномочий по обеспечению бесплатным двухразовым питанием детей-инвалидов (инвалидов), не являющихся обучающимися с ограниченными возможностями здоровья, получающих начальное общее, основное общее и среднее общее образование в муниципальных общеобразовательных организациях</t>
  </si>
  <si>
    <t>63540</t>
  </si>
  <si>
    <t>Осуществление отдельных государственных полномочий по обеспечению бесплатным двухразовым питанием детей-инвалидов (инвалидов), не являющихся обучающимися с ограниченными возможностями здоровья, получающих начальное общее, основное общее и среднее общее образование в муниципальных общеобразовательных организациях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</si>
  <si>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(капитальный ремонт зданий и сооружений, благоустройство территорий, прилегающих к зданиям и сооружениям муниципальных образовательных организаций)</t>
  </si>
  <si>
    <t>S3410</t>
  </si>
  <si>
    <t xml:space="preserve">Нормативы распределения доходов между </t>
  </si>
  <si>
    <t xml:space="preserve"> бюджетами городских и сельских поселений Апшеронского района</t>
  </si>
  <si>
    <t>2 02 35082 00 0000 150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</si>
  <si>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</si>
  <si>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2 02 35082 05 0000 150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</si>
  <si>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</si>
  <si>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R0820</t>
  </si>
  <si>
    <t>Апшеронский район от 23.12.2021 № 89</t>
  </si>
  <si>
    <t>Единая субвенция местным бюджетам из бюджета субъекта Российской Федерации</t>
  </si>
  <si>
    <t>2 02 36900 00 0000 150</t>
  </si>
  <si>
    <t>2 02 36900 05 0000 150</t>
  </si>
  <si>
    <t>Единая субвенция бюджетам муниципальных районов из бюджета субъекта Российской Федерации</t>
  </si>
  <si>
    <t xml:space="preserve">                                Приложение 5 к решению Совета муниципального образования</t>
  </si>
  <si>
    <t>изменения</t>
  </si>
  <si>
    <t>с учетом изменений</t>
  </si>
  <si>
    <t>11110</t>
  </si>
  <si>
    <t>Реализация мероприятий по газификации населенных пунктов поселений муниципального образования Апшеронский район</t>
  </si>
  <si>
    <t>2 19 60010 05 0000 150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</si>
  <si>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</si>
  <si>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(субвенции на осуществление отдельных государственных полномочий Краснодарского края на обеспечение выплат ежемесячного денежного вознаграждения за классное руководство педагогическим работникам муниципальных общеобразовательных организаций)</t>
  </si>
  <si>
    <t>Содействие развитию физической культуры и спорта</t>
  </si>
  <si>
    <t>Реализация мероприятий в области строительства, архитектуры и градостроительства</t>
  </si>
  <si>
    <t>11420</t>
  </si>
  <si>
    <t>12200</t>
  </si>
  <si>
    <t>Реализация мероприятий по переселению граждан из аварийного жилищного фонда</t>
  </si>
  <si>
    <t xml:space="preserve">Реализация мероприятий муниципальной программы "Развитие топливно-энергетического комплекса и жилищно-коммунального хозяйства" </t>
  </si>
  <si>
    <t>Прочие межбюджетные трансферты общего характера</t>
  </si>
  <si>
    <t>98</t>
  </si>
  <si>
    <t>90020</t>
  </si>
  <si>
    <t>Финансовое обеспечение непредвиденных расходов, в том числе связанных с предупреждением и ликвидацией чрезвычайных ситуаций и их последствий, а также иных мероприятий (неотложных расходов)</t>
  </si>
  <si>
    <t>Мероприятия, направленные на предупреждение и ликвидацию чрезвычайных ситуаций и их последствий, а также на иные мероприятия (неотложные расходы), не относящиеся к публичным нормативным обязательствам</t>
  </si>
  <si>
    <t>Проектно-изыскательские работы по объекту: «Строительство подводящего водопровода к станице Нижегородской Апшеронского района Краснодарского края»</t>
  </si>
  <si>
    <t>Иные межбюджетные трансферты бюджетам поселений за счет средств резервного фонда администрации муниципального образования Апшеронский район</t>
  </si>
  <si>
    <t>Проектно-изыскательские работы по объекту: «Строительство подводящего водопровода к хутору Гуамка Апшеронского района Краснодарского края»</t>
  </si>
  <si>
    <t>Текущий ремонт пешеходного моста (подвесного) ст. Нижегородской по ул. Заречной</t>
  </si>
  <si>
    <t>Текущий ремонт (устранение дефектов и устройство ремонтного слоя) покрытия автомобильной дороги Подольское шоссе (от улицы Первомайской дома № 27 до кладбища и вдоль кладбища хутора Подольский) Нефтегорского городского поселения Апшеронского района</t>
  </si>
  <si>
    <t>Формирование земельного участка с постановкой на государственный кадастровый учет и выполнение технического плана по объекту сооружений дорожного транспорта, расположенного по адресу: Краснодарский край, Апшеронский район, поселок Отдаленный, ул. Коммунаров, ул. Буденного, ул. Клубная</t>
  </si>
  <si>
    <t>Формирование земельного участка, расположенного по адресу: Краснодарский край, Апшеронский район, село Тубы, ул. Клубная, 25</t>
  </si>
  <si>
    <t>Формирование земельного участка, расположенного по адресу: Краснодарский край, Апшеронский район, поселок Новый Режет, ул. Железнодорожная, 1</t>
  </si>
  <si>
    <t>Озеленение территории городского парка культуры и отдыха «Юность» в г. Апшеронске</t>
  </si>
  <si>
    <t>L5190</t>
  </si>
  <si>
    <t>Государственная поддержка отрасли культуры</t>
  </si>
  <si>
    <t>2 02 25519 05 0000 150</t>
  </si>
  <si>
    <t>2 02 25519 00 0000 150</t>
  </si>
  <si>
    <t>Субсидии бюджетам на поддержку отрасли культуры</t>
  </si>
  <si>
    <t>Субсидии бюджетам муниципальных районов на поддержку отрасли культуры</t>
  </si>
  <si>
    <t>субсидии на реализацию мероприятий по модернизации библиотек в части комплектования книжных фондов библиотек муниципальных образований Краснодарского края</t>
  </si>
  <si>
    <t>Построение и развитие АПК "Безопасный город" и системы "112"</t>
  </si>
  <si>
    <t>1 17 16000 05</t>
  </si>
  <si>
    <t>Прочие неналоговые доходы бюджетов муниципальных районов в части невыясненных поступлений, по которым не осуществлен возврат (уточнение) не позднее трех лет со дня их зачисления на единый счет бюджета муниципального района</t>
  </si>
  <si>
    <t>1 17 16000 10</t>
  </si>
  <si>
    <t>Прочие неналоговые доходы бюджетов сельских поселений в части невыясненных поступлений, по которым не осуществлен возврат (уточнение) не позднее трех лет со дня их зачисления на единый счет бюджета сельского поселения</t>
  </si>
  <si>
    <t>1 17 16000 13</t>
  </si>
  <si>
    <t>Прочие неналоговые доходы бюджетов городских поселений в части невыясненных поступлений, по которым не осуществлен возврат (уточнение) не позднее трех лет со дня их зачисления на единый счет бюджета городского поселения</t>
  </si>
  <si>
    <t>Иные межбюджетные трансферты на поддержку мер по обеспечению сбалансированности бюджетов поселений</t>
  </si>
  <si>
    <t>10720</t>
  </si>
  <si>
    <t>2 18 60010 05 0000 150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</si>
  <si>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</si>
  <si>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субсидии на реализацию мероприятий, направленных на развитие детско-юношеского спорта, в целях создания условий для подготовки спортивных сборных команд муниципальных образований и участие в обеспечении подготовки спортивного резерва для спортивных сборных команд Краснодарского края (укрепление материально-технической базы муниципальных физкультурно-спортивных организаций)</t>
  </si>
  <si>
    <t>S3570</t>
  </si>
  <si>
    <t>субвенции на осуществление отдельных государственных полномочий по ведению учета граждан отдельных категорий в качестве нуждающихся в жилых помещениях и по формированию списка детей сирот и детей, оставшихся без попечения родителей, лиц из числа детей сирот и детей, оставшихся без попечения родителей, лиц, относившихся к категории детей сирот и детей, оставшихся без попечения родителей, подлежащих обеспечению жилыми помещениями</t>
  </si>
  <si>
    <t>2 02 49999 00 0000 150</t>
  </si>
  <si>
    <t>Прочие межбюджетные трансферты, передаваемые бюджетам</t>
  </si>
  <si>
    <t>2 02 49999 05 0000 150</t>
  </si>
  <si>
    <t>Прочие межбюджетные трансферты, передаваемые бюджетам муниципальных районов</t>
  </si>
  <si>
    <t>Реализация мероприятий, направленных на развитие детско-юношеского спорта, в целях создания условий для подготовки спортивных сборных команд муниципальных образований и участие в обеспечении подготовки спортивного резерва для спортивных сборных команд Краснодарского края (укрепление материально-технической базы муниципальных физкультурно-спортивных организаций)</t>
  </si>
  <si>
    <t>62980</t>
  </si>
  <si>
    <t>Дополнительная помощь местным бюджетам для решения социально значимых вопросов местного значения</t>
  </si>
  <si>
    <t>Устройство бетонного основания для спортивной игровой площадки в пос. Новые Поляны по ул. Кирова</t>
  </si>
  <si>
    <t>Апшеронский район от 31.03.2022 № 105</t>
  </si>
  <si>
    <t>Апшеронский район от 31.03.2022 №105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</si>
</sst>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0.0"/>
    <numFmt numFmtId="167" formatCode="#,##0.0"/>
    <numFmt numFmtId="168" formatCode="0.00000"/>
    <numFmt numFmtId="169" formatCode="0.0_ ;[Red]\-0.0\ "/>
    <numFmt numFmtId="170" formatCode="#,##0.00000"/>
    <numFmt numFmtId="171" formatCode="0.000000"/>
    <numFmt numFmtId="172" formatCode="0.00000_ ;[Red]\-0.00000\ "/>
    <numFmt numFmtId="173" formatCode="_-* #,##0.00000_р_._-;\-* #,##0.00000_р_._-;_-* &quot;-&quot;?????_р_._-;_-@_-"/>
    <numFmt numFmtId="174" formatCode="0.000"/>
    <numFmt numFmtId="175" formatCode="#,##0.0_ ;\-#,##0.0\ "/>
    <numFmt numFmtId="176" formatCode="#,##0.0_ ;[Red]\-#,##0.0\ "/>
    <numFmt numFmtId="177" formatCode="0.0000"/>
  </numFmts>
  <fonts count="33" x14ac:knownFonts="1">
    <font>
      <sz val="11"/>
      <color theme="1"/>
      <name val="Calibri"/>
      <family val="2"/>
      <scheme val="minor"/>
    </font>
    <font>
      <sz val="14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i/>
      <sz val="14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4"/>
      <name val="Times New Roman"/>
      <family val="1"/>
    </font>
    <font>
      <sz val="14"/>
      <name val="Arial"/>
      <family val="2"/>
      <charset val="204"/>
    </font>
    <font>
      <b/>
      <sz val="12"/>
      <name val="Times New Roman"/>
      <family val="1"/>
    </font>
    <font>
      <sz val="14"/>
      <name val="Arial Cyr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4"/>
      <color rgb="FF0000FF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sz val="11"/>
      <name val="Calibri"/>
      <family val="2"/>
    </font>
    <font>
      <i/>
      <sz val="12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i/>
      <sz val="12"/>
      <color rgb="FF0000FF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4"/>
      <color rgb="FF8A0000"/>
      <name val="Times New Roman"/>
      <family val="1"/>
    </font>
    <font>
      <sz val="14"/>
      <color rgb="FFC00000"/>
      <name val="Times New Roman"/>
      <family val="1"/>
    </font>
    <font>
      <sz val="11"/>
      <color rgb="FFC00000"/>
      <name val="Calibri"/>
      <family val="2"/>
      <scheme val="minor"/>
    </font>
    <font>
      <sz val="14"/>
      <color rgb="FF8A0000"/>
      <name val="Calibri"/>
      <family val="2"/>
      <scheme val="minor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</borders>
  <cellStyleXfs count="20">
    <xf numFmtId="0" fontId="0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9" fillId="0" borderId="0"/>
    <xf numFmtId="0" fontId="7" fillId="0" borderId="0"/>
    <xf numFmtId="0" fontId="7" fillId="0" borderId="0"/>
    <xf numFmtId="0" fontId="5" fillId="0" borderId="0"/>
    <xf numFmtId="0" fontId="7" fillId="0" borderId="0"/>
    <xf numFmtId="165" fontId="7" fillId="0" borderId="0" applyFont="0" applyFill="0" applyBorder="0" applyAlignment="0" applyProtection="0"/>
    <xf numFmtId="0" fontId="9" fillId="0" borderId="0"/>
    <xf numFmtId="0" fontId="9" fillId="0" borderId="0"/>
    <xf numFmtId="164" fontId="17" fillId="0" borderId="0" applyFont="0" applyFill="0" applyBorder="0" applyAlignment="0" applyProtection="0"/>
    <xf numFmtId="0" fontId="9" fillId="0" borderId="0"/>
    <xf numFmtId="0" fontId="5" fillId="0" borderId="0"/>
    <xf numFmtId="0" fontId="9" fillId="0" borderId="0"/>
    <xf numFmtId="0" fontId="17" fillId="0" borderId="0"/>
    <xf numFmtId="0" fontId="7" fillId="0" borderId="0"/>
    <xf numFmtId="43" fontId="17" fillId="0" borderId="0" applyFont="0" applyFill="0" applyBorder="0" applyAlignment="0" applyProtection="0"/>
  </cellStyleXfs>
  <cellXfs count="749">
    <xf numFmtId="0" fontId="0" fillId="0" borderId="0" xfId="0"/>
    <xf numFmtId="0" fontId="1" fillId="0" borderId="0" xfId="7" applyFont="1" applyFill="1"/>
    <xf numFmtId="0" fontId="1" fillId="0" borderId="0" xfId="3" applyFont="1" applyFill="1"/>
    <xf numFmtId="166" fontId="2" fillId="0" borderId="0" xfId="7" applyNumberFormat="1" applyFont="1" applyFill="1" applyBorder="1" applyAlignment="1"/>
    <xf numFmtId="171" fontId="2" fillId="0" borderId="0" xfId="3" applyNumberFormat="1" applyFont="1" applyFill="1"/>
    <xf numFmtId="168" fontId="3" fillId="0" borderId="1" xfId="3" applyNumberFormat="1" applyFont="1" applyFill="1" applyBorder="1" applyAlignment="1">
      <alignment horizontal="center" vertical="center"/>
    </xf>
    <xf numFmtId="0" fontId="3" fillId="0" borderId="0" xfId="0" applyFont="1" applyFill="1"/>
    <xf numFmtId="10" fontId="1" fillId="0" borderId="0" xfId="3" applyNumberFormat="1" applyFont="1" applyFill="1"/>
    <xf numFmtId="0" fontId="16" fillId="2" borderId="0" xfId="0" applyFont="1" applyFill="1"/>
    <xf numFmtId="0" fontId="8" fillId="2" borderId="0" xfId="0" applyFont="1" applyFill="1" applyBorder="1" applyAlignment="1">
      <alignment horizontal="center"/>
    </xf>
    <xf numFmtId="49" fontId="8" fillId="2" borderId="0" xfId="0" applyNumberFormat="1" applyFont="1" applyFill="1" applyBorder="1" applyAlignment="1">
      <alignment horizontal="center" vertical="top" wrapText="1"/>
    </xf>
    <xf numFmtId="49" fontId="8" fillId="2" borderId="0" xfId="0" applyNumberFormat="1" applyFont="1" applyFill="1" applyBorder="1" applyAlignment="1">
      <alignment horizontal="center"/>
    </xf>
    <xf numFmtId="168" fontId="16" fillId="2" borderId="0" xfId="0" applyNumberFormat="1" applyFont="1" applyFill="1" applyBorder="1" applyAlignment="1"/>
    <xf numFmtId="168" fontId="8" fillId="2" borderId="0" xfId="0" applyNumberFormat="1" applyFont="1" applyFill="1" applyAlignment="1">
      <alignment horizontal="center"/>
    </xf>
    <xf numFmtId="0" fontId="8" fillId="2" borderId="0" xfId="0" applyFont="1" applyFill="1"/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/>
    </xf>
    <xf numFmtId="49" fontId="2" fillId="2" borderId="3" xfId="0" applyNumberFormat="1" applyFont="1" applyFill="1" applyBorder="1" applyAlignment="1">
      <alignment vertical="top" wrapText="1"/>
    </xf>
    <xf numFmtId="49" fontId="1" fillId="2" borderId="1" xfId="6" applyNumberFormat="1" applyFont="1" applyFill="1" applyBorder="1" applyAlignment="1">
      <alignment horizontal="center" vertical="top" wrapText="1"/>
    </xf>
    <xf numFmtId="49" fontId="1" fillId="2" borderId="1" xfId="6" applyNumberFormat="1" applyFont="1" applyFill="1" applyBorder="1" applyAlignment="1">
      <alignment horizontal="center" vertical="top"/>
    </xf>
    <xf numFmtId="49" fontId="1" fillId="2" borderId="2" xfId="6" applyNumberFormat="1" applyFont="1" applyFill="1" applyBorder="1" applyAlignment="1">
      <alignment horizontal="center" vertical="top"/>
    </xf>
    <xf numFmtId="49" fontId="1" fillId="2" borderId="9" xfId="6" applyNumberFormat="1" applyFont="1" applyFill="1" applyBorder="1" applyAlignment="1">
      <alignment horizontal="center" vertical="top"/>
    </xf>
    <xf numFmtId="49" fontId="1" fillId="2" borderId="3" xfId="6" applyNumberFormat="1" applyFont="1" applyFill="1" applyBorder="1" applyAlignment="1">
      <alignment horizontal="center" vertical="top"/>
    </xf>
    <xf numFmtId="49" fontId="2" fillId="2" borderId="3" xfId="0" applyNumberFormat="1" applyFont="1" applyFill="1" applyBorder="1" applyAlignment="1">
      <alignment wrapText="1"/>
    </xf>
    <xf numFmtId="49" fontId="2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2" borderId="9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 wrapText="1"/>
    </xf>
    <xf numFmtId="166" fontId="1" fillId="2" borderId="1" xfId="0" applyNumberFormat="1" applyFont="1" applyFill="1" applyBorder="1" applyAlignment="1">
      <alignment horizontal="right"/>
    </xf>
    <xf numFmtId="49" fontId="1" fillId="2" borderId="3" xfId="4" applyNumberFormat="1" applyFont="1" applyFill="1" applyBorder="1" applyAlignment="1" applyProtection="1">
      <alignment horizontal="left" wrapText="1"/>
      <protection hidden="1"/>
    </xf>
    <xf numFmtId="49" fontId="1" fillId="2" borderId="3" xfId="5" applyNumberFormat="1" applyFont="1" applyFill="1" applyBorder="1" applyAlignment="1">
      <alignment horizontal="left" wrapText="1"/>
    </xf>
    <xf numFmtId="49" fontId="1" fillId="2" borderId="3" xfId="6" applyNumberFormat="1" applyFont="1" applyFill="1" applyBorder="1" applyAlignment="1">
      <alignment horizontal="left" wrapText="1"/>
    </xf>
    <xf numFmtId="49" fontId="1" fillId="2" borderId="3" xfId="0" applyNumberFormat="1" applyFont="1" applyFill="1" applyBorder="1" applyAlignment="1">
      <alignment horizontal="left" wrapText="1"/>
    </xf>
    <xf numFmtId="49" fontId="1" fillId="2" borderId="3" xfId="5" applyNumberFormat="1" applyFont="1" applyFill="1" applyBorder="1" applyAlignment="1">
      <alignment wrapText="1"/>
    </xf>
    <xf numFmtId="49" fontId="1" fillId="2" borderId="14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49" fontId="1" fillId="2" borderId="2" xfId="6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/>
    <xf numFmtId="166" fontId="16" fillId="2" borderId="0" xfId="0" applyNumberFormat="1" applyFont="1" applyFill="1"/>
    <xf numFmtId="166" fontId="3" fillId="2" borderId="0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center"/>
    </xf>
    <xf numFmtId="166" fontId="2" fillId="2" borderId="1" xfId="0" applyNumberFormat="1" applyFont="1" applyFill="1" applyBorder="1" applyAlignment="1">
      <alignment horizontal="right"/>
    </xf>
    <xf numFmtId="0" fontId="3" fillId="2" borderId="0" xfId="0" applyFont="1" applyFill="1" applyBorder="1"/>
    <xf numFmtId="0" fontId="3" fillId="2" borderId="0" xfId="0" applyFont="1" applyFill="1"/>
    <xf numFmtId="0" fontId="19" fillId="2" borderId="0" xfId="0" applyFont="1" applyFill="1"/>
    <xf numFmtId="11" fontId="1" fillId="2" borderId="3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right"/>
    </xf>
    <xf numFmtId="0" fontId="4" fillId="2" borderId="1" xfId="0" applyFont="1" applyFill="1" applyBorder="1" applyAlignment="1">
      <alignment horizontal="center" vertical="top"/>
    </xf>
    <xf numFmtId="0" fontId="3" fillId="2" borderId="0" xfId="7" applyFont="1" applyFill="1" applyBorder="1" applyAlignment="1">
      <alignment horizontal="left"/>
    </xf>
    <xf numFmtId="49" fontId="10" fillId="2" borderId="0" xfId="7" applyNumberFormat="1" applyFont="1" applyFill="1" applyBorder="1" applyAlignment="1">
      <alignment vertical="top" wrapText="1"/>
    </xf>
    <xf numFmtId="49" fontId="11" fillId="2" borderId="0" xfId="7" applyNumberFormat="1" applyFont="1" applyFill="1" applyBorder="1" applyAlignment="1">
      <alignment horizontal="center"/>
    </xf>
    <xf numFmtId="166" fontId="4" fillId="2" borderId="0" xfId="7" applyNumberFormat="1" applyFont="1" applyFill="1" applyBorder="1" applyAlignment="1"/>
    <xf numFmtId="168" fontId="11" fillId="2" borderId="0" xfId="7" applyNumberFormat="1" applyFont="1" applyFill="1"/>
    <xf numFmtId="0" fontId="11" fillId="2" borderId="0" xfId="7" applyFont="1" applyFill="1"/>
    <xf numFmtId="0" fontId="3" fillId="2" borderId="0" xfId="7" applyFont="1" applyFill="1" applyAlignment="1">
      <alignment horizontal="left"/>
    </xf>
    <xf numFmtId="168" fontId="3" fillId="2" borderId="0" xfId="7" applyNumberFormat="1" applyFont="1" applyFill="1" applyAlignment="1">
      <alignment horizontal="right"/>
    </xf>
    <xf numFmtId="0" fontId="6" fillId="2" borderId="0" xfId="0" applyFont="1" applyFill="1"/>
    <xf numFmtId="166" fontId="4" fillId="2" borderId="0" xfId="0" applyNumberFormat="1" applyFont="1" applyFill="1" applyAlignment="1">
      <alignment horizontal="center"/>
    </xf>
    <xf numFmtId="166" fontId="3" fillId="2" borderId="0" xfId="1" applyNumberFormat="1" applyFont="1" applyFill="1" applyAlignment="1">
      <alignment horizontal="right"/>
    </xf>
    <xf numFmtId="166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0" fontId="4" fillId="2" borderId="1" xfId="7" applyFont="1" applyFill="1" applyBorder="1" applyAlignment="1">
      <alignment vertical="top" wrapText="1"/>
    </xf>
    <xf numFmtId="166" fontId="4" fillId="2" borderId="1" xfId="0" applyNumberFormat="1" applyFont="1" applyFill="1" applyBorder="1" applyAlignment="1">
      <alignment horizontal="right" vertical="top"/>
    </xf>
    <xf numFmtId="0" fontId="6" fillId="2" borderId="1" xfId="1" applyFont="1" applyFill="1" applyBorder="1" applyAlignment="1">
      <alignment horizontal="center" vertical="top"/>
    </xf>
    <xf numFmtId="0" fontId="3" fillId="2" borderId="0" xfId="1" applyFont="1" applyFill="1"/>
    <xf numFmtId="49" fontId="3" fillId="2" borderId="0" xfId="5" applyNumberFormat="1" applyFont="1" applyFill="1" applyBorder="1" applyAlignment="1">
      <alignment horizontal="center" vertical="top" wrapText="1"/>
    </xf>
    <xf numFmtId="0" fontId="3" fillId="2" borderId="0" xfId="5" applyNumberFormat="1" applyFont="1" applyFill="1" applyBorder="1" applyAlignment="1">
      <alignment horizontal="left" wrapText="1"/>
    </xf>
    <xf numFmtId="166" fontId="3" fillId="2" borderId="0" xfId="5" applyNumberFormat="1" applyFont="1" applyFill="1" applyBorder="1" applyAlignment="1">
      <alignment horizontal="right" wrapText="1"/>
    </xf>
    <xf numFmtId="49" fontId="24" fillId="2" borderId="0" xfId="7" applyNumberFormat="1" applyFont="1" applyFill="1" applyBorder="1" applyAlignment="1">
      <alignment horizontal="center"/>
    </xf>
    <xf numFmtId="166" fontId="3" fillId="2" borderId="0" xfId="0" applyNumberFormat="1" applyFont="1" applyFill="1"/>
    <xf numFmtId="0" fontId="3" fillId="2" borderId="0" xfId="0" applyFont="1" applyFill="1" applyAlignment="1">
      <alignment vertical="top"/>
    </xf>
    <xf numFmtId="0" fontId="4" fillId="2" borderId="0" xfId="0" applyFont="1" applyFill="1" applyAlignment="1">
      <alignment horizontal="center" vertical="top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top"/>
    </xf>
    <xf numFmtId="0" fontId="3" fillId="2" borderId="0" xfId="7" applyFont="1" applyFill="1" applyBorder="1" applyAlignment="1">
      <alignment horizontal="left" vertical="top"/>
    </xf>
    <xf numFmtId="0" fontId="3" fillId="2" borderId="0" xfId="7" applyFont="1" applyFill="1" applyAlignment="1">
      <alignment horizontal="left" vertical="top"/>
    </xf>
    <xf numFmtId="166" fontId="3" fillId="2" borderId="1" xfId="0" applyNumberFormat="1" applyFont="1" applyFill="1" applyBorder="1" applyAlignment="1">
      <alignment horizontal="right" vertical="top"/>
    </xf>
    <xf numFmtId="166" fontId="6" fillId="2" borderId="1" xfId="0" applyNumberFormat="1" applyFont="1" applyFill="1" applyBorder="1" applyAlignment="1">
      <alignment vertical="top"/>
    </xf>
    <xf numFmtId="166" fontId="6" fillId="2" borderId="1" xfId="0" applyNumberFormat="1" applyFont="1" applyFill="1" applyBorder="1" applyAlignment="1">
      <alignment horizontal="right" vertical="top"/>
    </xf>
    <xf numFmtId="166" fontId="3" fillId="2" borderId="1" xfId="1" applyNumberFormat="1" applyFont="1" applyFill="1" applyBorder="1" applyAlignment="1">
      <alignment vertical="top"/>
    </xf>
    <xf numFmtId="0" fontId="21" fillId="2" borderId="0" xfId="0" applyFont="1" applyFill="1" applyAlignment="1">
      <alignment horizontal="center" vertical="top"/>
    </xf>
    <xf numFmtId="0" fontId="22" fillId="2" borderId="0" xfId="0" applyFont="1" applyFill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vertical="top"/>
    </xf>
    <xf numFmtId="0" fontId="3" fillId="2" borderId="0" xfId="0" applyFont="1" applyFill="1" applyAlignment="1">
      <alignment horizontal="left" vertical="top" wrapText="1"/>
    </xf>
    <xf numFmtId="166" fontId="1" fillId="2" borderId="1" xfId="0" applyNumberFormat="1" applyFont="1" applyFill="1" applyBorder="1" applyAlignment="1">
      <alignment vertical="top" wrapText="1"/>
    </xf>
    <xf numFmtId="49" fontId="3" fillId="2" borderId="5" xfId="0" applyNumberFormat="1" applyFont="1" applyFill="1" applyBorder="1" applyAlignment="1">
      <alignment horizontal="center"/>
    </xf>
    <xf numFmtId="49" fontId="3" fillId="2" borderId="0" xfId="0" applyNumberFormat="1" applyFont="1" applyFill="1" applyBorder="1" applyAlignment="1">
      <alignment horizontal="center"/>
    </xf>
    <xf numFmtId="166" fontId="19" fillId="2" borderId="0" xfId="0" applyNumberFormat="1" applyFont="1" applyFill="1" applyBorder="1"/>
    <xf numFmtId="0" fontId="16" fillId="2" borderId="0" xfId="0" applyFont="1" applyFill="1" applyBorder="1"/>
    <xf numFmtId="166" fontId="3" fillId="2" borderId="0" xfId="0" applyNumberFormat="1" applyFont="1" applyFill="1" applyBorder="1"/>
    <xf numFmtId="166" fontId="16" fillId="2" borderId="0" xfId="0" applyNumberFormat="1" applyFont="1" applyFill="1" applyBorder="1"/>
    <xf numFmtId="0" fontId="8" fillId="2" borderId="0" xfId="7" applyFont="1" applyFill="1"/>
    <xf numFmtId="166" fontId="8" fillId="2" borderId="0" xfId="7" applyNumberFormat="1" applyFont="1" applyFill="1"/>
    <xf numFmtId="49" fontId="14" fillId="2" borderId="0" xfId="7" applyNumberFormat="1" applyFont="1" applyFill="1" applyBorder="1" applyAlignment="1">
      <alignment vertical="top" wrapText="1"/>
    </xf>
    <xf numFmtId="49" fontId="8" fillId="2" borderId="0" xfId="7" applyNumberFormat="1" applyFont="1" applyFill="1" applyBorder="1" applyAlignment="1">
      <alignment horizontal="center"/>
    </xf>
    <xf numFmtId="49" fontId="1" fillId="2" borderId="1" xfId="7" applyNumberFormat="1" applyFont="1" applyFill="1" applyBorder="1" applyAlignment="1">
      <alignment horizontal="center"/>
    </xf>
    <xf numFmtId="0" fontId="1" fillId="2" borderId="1" xfId="7" applyFont="1" applyFill="1" applyBorder="1" applyAlignment="1">
      <alignment horizontal="center" vertical="top"/>
    </xf>
    <xf numFmtId="49" fontId="2" fillId="2" borderId="1" xfId="7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wrapText="1"/>
    </xf>
    <xf numFmtId="49" fontId="1" fillId="2" borderId="1" xfId="5" applyNumberFormat="1" applyFont="1" applyFill="1" applyBorder="1" applyAlignment="1">
      <alignment horizontal="left" wrapText="1"/>
    </xf>
    <xf numFmtId="49" fontId="1" fillId="2" borderId="19" xfId="11" applyNumberFormat="1" applyFont="1" applyFill="1" applyBorder="1" applyAlignment="1">
      <alignment wrapText="1"/>
    </xf>
    <xf numFmtId="49" fontId="1" fillId="2" borderId="17" xfId="11" applyNumberFormat="1" applyFont="1" applyFill="1" applyBorder="1" applyAlignment="1">
      <alignment horizontal="center"/>
    </xf>
    <xf numFmtId="49" fontId="1" fillId="2" borderId="18" xfId="16" applyNumberFormat="1" applyFont="1" applyFill="1" applyBorder="1" applyAlignment="1">
      <alignment horizontal="center"/>
    </xf>
    <xf numFmtId="49" fontId="1" fillId="2" borderId="19" xfId="16" applyNumberFormat="1" applyFont="1" applyFill="1" applyBorder="1" applyAlignment="1">
      <alignment horizontal="center"/>
    </xf>
    <xf numFmtId="49" fontId="1" fillId="2" borderId="16" xfId="16" applyNumberFormat="1" applyFont="1" applyFill="1" applyBorder="1" applyAlignment="1">
      <alignment horizontal="center"/>
    </xf>
    <xf numFmtId="2" fontId="1" fillId="2" borderId="3" xfId="0" applyNumberFormat="1" applyFont="1" applyFill="1" applyBorder="1" applyAlignment="1">
      <alignment wrapText="1"/>
    </xf>
    <xf numFmtId="0" fontId="2" fillId="2" borderId="1" xfId="7" applyFont="1" applyFill="1" applyBorder="1" applyAlignment="1">
      <alignment horizontal="center" vertical="top"/>
    </xf>
    <xf numFmtId="49" fontId="2" fillId="2" borderId="9" xfId="7" applyNumberFormat="1" applyFont="1" applyFill="1" applyBorder="1" applyAlignment="1">
      <alignment horizontal="center"/>
    </xf>
    <xf numFmtId="49" fontId="2" fillId="2" borderId="3" xfId="7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left" wrapText="1"/>
    </xf>
    <xf numFmtId="49" fontId="1" fillId="2" borderId="9" xfId="6" applyNumberFormat="1" applyFont="1" applyFill="1" applyBorder="1" applyAlignment="1">
      <alignment horizontal="center"/>
    </xf>
    <xf numFmtId="49" fontId="1" fillId="2" borderId="3" xfId="6" applyNumberFormat="1" applyFont="1" applyFill="1" applyBorder="1" applyAlignment="1">
      <alignment horizontal="center"/>
    </xf>
    <xf numFmtId="49" fontId="1" fillId="2" borderId="1" xfId="6" applyNumberFormat="1" applyFont="1" applyFill="1" applyBorder="1" applyAlignment="1">
      <alignment horizontal="center"/>
    </xf>
    <xf numFmtId="49" fontId="1" fillId="2" borderId="0" xfId="7" applyNumberFormat="1" applyFont="1" applyFill="1" applyBorder="1" applyAlignment="1">
      <alignment horizontal="center"/>
    </xf>
    <xf numFmtId="49" fontId="1" fillId="2" borderId="17" xfId="6" applyNumberFormat="1" applyFont="1" applyFill="1" applyBorder="1" applyAlignment="1">
      <alignment horizontal="center"/>
    </xf>
    <xf numFmtId="49" fontId="1" fillId="2" borderId="18" xfId="14" applyNumberFormat="1" applyFont="1" applyFill="1" applyBorder="1" applyAlignment="1">
      <alignment horizontal="center"/>
    </xf>
    <xf numFmtId="49" fontId="1" fillId="2" borderId="19" xfId="14" applyNumberFormat="1" applyFont="1" applyFill="1" applyBorder="1" applyAlignment="1">
      <alignment horizontal="center"/>
    </xf>
    <xf numFmtId="49" fontId="1" fillId="2" borderId="21" xfId="14" applyNumberFormat="1" applyFont="1" applyFill="1" applyBorder="1" applyAlignment="1">
      <alignment horizontal="center"/>
    </xf>
    <xf numFmtId="49" fontId="1" fillId="2" borderId="16" xfId="14" applyNumberFormat="1" applyFont="1" applyFill="1" applyBorder="1" applyAlignment="1">
      <alignment horizontal="center"/>
    </xf>
    <xf numFmtId="49" fontId="1" fillId="2" borderId="20" xfId="6" applyNumberFormat="1" applyFont="1" applyFill="1" applyBorder="1" applyAlignment="1">
      <alignment horizontal="center"/>
    </xf>
    <xf numFmtId="49" fontId="1" fillId="2" borderId="20" xfId="14" applyNumberFormat="1" applyFont="1" applyFill="1" applyBorder="1" applyAlignment="1">
      <alignment horizontal="center"/>
    </xf>
    <xf numFmtId="49" fontId="1" fillId="2" borderId="19" xfId="5" applyNumberFormat="1" applyFont="1" applyFill="1" applyBorder="1" applyAlignment="1">
      <alignment wrapText="1"/>
    </xf>
    <xf numFmtId="49" fontId="1" fillId="2" borderId="17" xfId="5" applyNumberFormat="1" applyFont="1" applyFill="1" applyBorder="1" applyAlignment="1">
      <alignment horizontal="center"/>
    </xf>
    <xf numFmtId="49" fontId="1" fillId="2" borderId="18" xfId="5" applyNumberFormat="1" applyFont="1" applyFill="1" applyBorder="1" applyAlignment="1">
      <alignment horizontal="center"/>
    </xf>
    <xf numFmtId="49" fontId="1" fillId="2" borderId="19" xfId="5" applyNumberFormat="1" applyFont="1" applyFill="1" applyBorder="1" applyAlignment="1">
      <alignment horizontal="center"/>
    </xf>
    <xf numFmtId="49" fontId="1" fillId="2" borderId="16" xfId="5" applyNumberFormat="1" applyFont="1" applyFill="1" applyBorder="1" applyAlignment="1">
      <alignment horizontal="center"/>
    </xf>
    <xf numFmtId="49" fontId="1" fillId="2" borderId="19" xfId="16" applyNumberFormat="1" applyFont="1" applyFill="1" applyBorder="1" applyAlignment="1">
      <alignment wrapText="1"/>
    </xf>
    <xf numFmtId="49" fontId="1" fillId="2" borderId="19" xfId="16" applyNumberFormat="1" applyFont="1" applyFill="1" applyBorder="1" applyAlignment="1">
      <alignment horizontal="center" wrapText="1"/>
    </xf>
    <xf numFmtId="49" fontId="1" fillId="2" borderId="0" xfId="0" applyNumberFormat="1" applyFont="1" applyFill="1" applyBorder="1" applyAlignment="1">
      <alignment wrapText="1"/>
    </xf>
    <xf numFmtId="49" fontId="1" fillId="2" borderId="0" xfId="0" applyNumberFormat="1" applyFont="1" applyFill="1" applyBorder="1" applyAlignment="1">
      <alignment horizontal="center"/>
    </xf>
    <xf numFmtId="166" fontId="2" fillId="2" borderId="0" xfId="7" applyNumberFormat="1" applyFont="1" applyFill="1" applyBorder="1" applyAlignment="1"/>
    <xf numFmtId="0" fontId="1" fillId="2" borderId="0" xfId="7" applyFont="1" applyFill="1" applyBorder="1" applyAlignment="1">
      <alignment horizontal="left"/>
    </xf>
    <xf numFmtId="0" fontId="1" fillId="2" borderId="0" xfId="7" applyFont="1" applyFill="1" applyAlignment="1">
      <alignment horizontal="left"/>
    </xf>
    <xf numFmtId="168" fontId="1" fillId="2" borderId="0" xfId="7" applyNumberFormat="1" applyFont="1" applyFill="1" applyAlignment="1">
      <alignment horizontal="right"/>
    </xf>
    <xf numFmtId="166" fontId="2" fillId="2" borderId="1" xfId="0" applyNumberFormat="1" applyFont="1" applyFill="1" applyBorder="1" applyAlignment="1">
      <alignment horizontal="right" vertical="top"/>
    </xf>
    <xf numFmtId="0" fontId="3" fillId="2" borderId="0" xfId="5" applyFont="1" applyFill="1" applyBorder="1" applyAlignment="1">
      <alignment horizontal="left" vertical="top" wrapText="1"/>
    </xf>
    <xf numFmtId="166" fontId="3" fillId="2" borderId="0" xfId="0" applyNumberFormat="1" applyFont="1" applyFill="1" applyBorder="1" applyAlignment="1">
      <alignment horizontal="right" vertical="top"/>
    </xf>
    <xf numFmtId="0" fontId="2" fillId="2" borderId="1" xfId="0" applyFont="1" applyFill="1" applyBorder="1" applyAlignment="1">
      <alignment horizontal="center" vertical="top"/>
    </xf>
    <xf numFmtId="0" fontId="14" fillId="2" borderId="0" xfId="0" applyFont="1" applyFill="1"/>
    <xf numFmtId="168" fontId="16" fillId="2" borderId="0" xfId="0" applyNumberFormat="1" applyFont="1" applyFill="1"/>
    <xf numFmtId="168" fontId="3" fillId="2" borderId="0" xfId="0" applyNumberFormat="1" applyFont="1" applyFill="1" applyBorder="1" applyAlignment="1">
      <alignment horizontal="right"/>
    </xf>
    <xf numFmtId="49" fontId="2" fillId="2" borderId="1" xfId="0" applyNumberFormat="1" applyFont="1" applyFill="1" applyBorder="1" applyAlignment="1">
      <alignment vertical="top" wrapText="1"/>
    </xf>
    <xf numFmtId="0" fontId="10" fillId="2" borderId="0" xfId="0" applyFont="1" applyFill="1"/>
    <xf numFmtId="0" fontId="11" fillId="2" borderId="0" xfId="0" applyFont="1" applyFill="1"/>
    <xf numFmtId="0" fontId="23" fillId="2" borderId="0" xfId="0" applyFont="1" applyFill="1"/>
    <xf numFmtId="0" fontId="2" fillId="2" borderId="16" xfId="16" applyFont="1" applyFill="1" applyBorder="1" applyAlignment="1">
      <alignment horizontal="center" vertical="top"/>
    </xf>
    <xf numFmtId="49" fontId="2" fillId="2" borderId="19" xfId="16" applyNumberFormat="1" applyFont="1" applyFill="1" applyBorder="1" applyAlignment="1">
      <alignment wrapText="1"/>
    </xf>
    <xf numFmtId="49" fontId="2" fillId="2" borderId="16" xfId="16" applyNumberFormat="1" applyFont="1" applyFill="1" applyBorder="1" applyAlignment="1">
      <alignment horizontal="center" wrapText="1"/>
    </xf>
    <xf numFmtId="49" fontId="2" fillId="2" borderId="16" xfId="16" applyNumberFormat="1" applyFont="1" applyFill="1" applyBorder="1" applyAlignment="1">
      <alignment horizontal="center"/>
    </xf>
    <xf numFmtId="49" fontId="2" fillId="2" borderId="25" xfId="16" applyNumberFormat="1" applyFont="1" applyFill="1" applyBorder="1" applyAlignment="1">
      <alignment horizontal="center"/>
    </xf>
    <xf numFmtId="49" fontId="2" fillId="2" borderId="20" xfId="16" applyNumberFormat="1" applyFont="1" applyFill="1" applyBorder="1" applyAlignment="1">
      <alignment horizontal="center"/>
    </xf>
    <xf numFmtId="49" fontId="2" fillId="2" borderId="26" xfId="16" applyNumberFormat="1" applyFont="1" applyFill="1" applyBorder="1" applyAlignment="1">
      <alignment horizontal="center"/>
    </xf>
    <xf numFmtId="166" fontId="2" fillId="2" borderId="16" xfId="16" applyNumberFormat="1" applyFont="1" applyFill="1" applyBorder="1" applyAlignment="1">
      <alignment horizontal="right"/>
    </xf>
    <xf numFmtId="0" fontId="14" fillId="2" borderId="0" xfId="16" applyFont="1" applyFill="1"/>
    <xf numFmtId="0" fontId="1" fillId="2" borderId="16" xfId="16" applyFont="1" applyFill="1" applyBorder="1" applyAlignment="1">
      <alignment horizontal="center" vertical="top"/>
    </xf>
    <xf numFmtId="49" fontId="1" fillId="2" borderId="16" xfId="11" applyNumberFormat="1" applyFont="1" applyFill="1" applyBorder="1" applyAlignment="1">
      <alignment horizontal="center" wrapText="1"/>
    </xf>
    <xf numFmtId="49" fontId="1" fillId="2" borderId="16" xfId="11" applyNumberFormat="1" applyFont="1" applyFill="1" applyBorder="1" applyAlignment="1">
      <alignment horizontal="center"/>
    </xf>
    <xf numFmtId="49" fontId="1" fillId="2" borderId="17" xfId="16" applyNumberFormat="1" applyFont="1" applyFill="1" applyBorder="1" applyAlignment="1">
      <alignment horizontal="center"/>
    </xf>
    <xf numFmtId="166" fontId="1" fillId="2" borderId="16" xfId="16" applyNumberFormat="1" applyFont="1" applyFill="1" applyBorder="1" applyAlignment="1">
      <alignment horizontal="right"/>
    </xf>
    <xf numFmtId="0" fontId="8" fillId="2" borderId="0" xfId="16" applyFont="1" applyFill="1"/>
    <xf numFmtId="49" fontId="1" fillId="2" borderId="25" xfId="11" applyNumberFormat="1" applyFont="1" applyFill="1" applyBorder="1" applyAlignment="1">
      <alignment horizontal="center"/>
    </xf>
    <xf numFmtId="49" fontId="1" fillId="2" borderId="20" xfId="16" applyNumberFormat="1" applyFont="1" applyFill="1" applyBorder="1" applyAlignment="1">
      <alignment horizontal="center"/>
    </xf>
    <xf numFmtId="49" fontId="1" fillId="2" borderId="26" xfId="16" applyNumberFormat="1" applyFont="1" applyFill="1" applyBorder="1" applyAlignment="1">
      <alignment horizontal="center"/>
    </xf>
    <xf numFmtId="49" fontId="1" fillId="2" borderId="25" xfId="6" applyNumberFormat="1" applyFont="1" applyFill="1" applyBorder="1" applyAlignment="1">
      <alignment horizontal="center"/>
    </xf>
    <xf numFmtId="49" fontId="1" fillId="2" borderId="18" xfId="16" applyNumberFormat="1" applyFont="1" applyFill="1" applyBorder="1" applyAlignment="1">
      <alignment wrapText="1"/>
    </xf>
    <xf numFmtId="49" fontId="1" fillId="2" borderId="18" xfId="6" applyNumberFormat="1" applyFont="1" applyFill="1" applyBorder="1" applyAlignment="1">
      <alignment horizontal="center"/>
    </xf>
    <xf numFmtId="49" fontId="1" fillId="2" borderId="19" xfId="8" applyNumberFormat="1" applyFont="1" applyFill="1" applyBorder="1" applyAlignment="1">
      <alignment wrapText="1"/>
    </xf>
    <xf numFmtId="0" fontId="1" fillId="2" borderId="16" xfId="5" applyFont="1" applyFill="1" applyBorder="1" applyAlignment="1">
      <alignment horizontal="center" vertical="top"/>
    </xf>
    <xf numFmtId="49" fontId="1" fillId="2" borderId="19" xfId="5" applyNumberFormat="1" applyFont="1" applyFill="1" applyBorder="1" applyAlignment="1">
      <alignment horizontal="left" wrapText="1"/>
    </xf>
    <xf numFmtId="49" fontId="1" fillId="2" borderId="16" xfId="5" applyNumberFormat="1" applyFont="1" applyFill="1" applyBorder="1" applyAlignment="1">
      <alignment horizontal="center" wrapText="1"/>
    </xf>
    <xf numFmtId="0" fontId="8" fillId="2" borderId="0" xfId="5" applyFont="1" applyFill="1"/>
    <xf numFmtId="49" fontId="1" fillId="2" borderId="19" xfId="16" applyNumberFormat="1" applyFont="1" applyFill="1" applyBorder="1" applyAlignment="1">
      <alignment horizontal="left" wrapText="1"/>
    </xf>
    <xf numFmtId="0" fontId="14" fillId="2" borderId="0" xfId="5" applyFont="1" applyFill="1"/>
    <xf numFmtId="166" fontId="10" fillId="2" borderId="0" xfId="0" applyNumberFormat="1" applyFont="1" applyFill="1"/>
    <xf numFmtId="166" fontId="11" fillId="2" borderId="0" xfId="0" applyNumberFormat="1" applyFont="1" applyFill="1"/>
    <xf numFmtId="49" fontId="2" fillId="2" borderId="3" xfId="0" applyNumberFormat="1" applyFont="1" applyFill="1" applyBorder="1" applyAlignment="1">
      <alignment horizontal="left" wrapText="1"/>
    </xf>
    <xf numFmtId="49" fontId="1" fillId="2" borderId="1" xfId="6" applyNumberFormat="1" applyFont="1" applyFill="1" applyBorder="1" applyAlignment="1">
      <alignment horizontal="center" wrapText="1"/>
    </xf>
    <xf numFmtId="168" fontId="8" fillId="2" borderId="0" xfId="7" applyNumberFormat="1" applyFont="1" applyFill="1"/>
    <xf numFmtId="0" fontId="18" fillId="2" borderId="0" xfId="0" applyFont="1" applyFill="1"/>
    <xf numFmtId="168" fontId="18" fillId="2" borderId="0" xfId="0" applyNumberFormat="1" applyFont="1" applyFill="1"/>
    <xf numFmtId="166" fontId="11" fillId="2" borderId="1" xfId="0" applyNumberFormat="1" applyFont="1" applyFill="1" applyBorder="1"/>
    <xf numFmtId="49" fontId="4" fillId="2" borderId="1" xfId="0" applyNumberFormat="1" applyFont="1" applyFill="1" applyBorder="1" applyAlignment="1">
      <alignment horizontal="center"/>
    </xf>
    <xf numFmtId="166" fontId="10" fillId="2" borderId="1" xfId="0" applyNumberFormat="1" applyFont="1" applyFill="1" applyBorder="1"/>
    <xf numFmtId="49" fontId="3" fillId="2" borderId="1" xfId="0" applyNumberFormat="1" applyFont="1" applyFill="1" applyBorder="1" applyAlignment="1">
      <alignment horizontal="left"/>
    </xf>
    <xf numFmtId="168" fontId="3" fillId="2" borderId="1" xfId="0" applyNumberFormat="1" applyFont="1" applyFill="1" applyBorder="1"/>
    <xf numFmtId="49" fontId="2" fillId="2" borderId="1" xfId="0" applyNumberFormat="1" applyFont="1" applyFill="1" applyBorder="1" applyAlignment="1">
      <alignment horizontal="left" wrapText="1"/>
    </xf>
    <xf numFmtId="172" fontId="8" fillId="2" borderId="0" xfId="0" applyNumberFormat="1" applyFont="1" applyFill="1"/>
    <xf numFmtId="166" fontId="3" fillId="2" borderId="0" xfId="0" applyNumberFormat="1" applyFont="1" applyFill="1" applyAlignment="1">
      <alignment horizontal="right"/>
    </xf>
    <xf numFmtId="49" fontId="1" fillId="2" borderId="16" xfId="12" applyNumberFormat="1" applyFont="1" applyFill="1" applyBorder="1" applyAlignment="1">
      <alignment horizontal="center" wrapText="1"/>
    </xf>
    <xf numFmtId="49" fontId="1" fillId="2" borderId="16" xfId="12" applyNumberFormat="1" applyFont="1" applyFill="1" applyBorder="1" applyAlignment="1">
      <alignment horizontal="center"/>
    </xf>
    <xf numFmtId="49" fontId="1" fillId="2" borderId="17" xfId="12" applyNumberFormat="1" applyFont="1" applyFill="1" applyBorder="1" applyAlignment="1">
      <alignment horizontal="center"/>
    </xf>
    <xf numFmtId="49" fontId="1" fillId="2" borderId="18" xfId="12" applyNumberFormat="1" applyFont="1" applyFill="1" applyBorder="1" applyAlignment="1">
      <alignment horizontal="center"/>
    </xf>
    <xf numFmtId="49" fontId="1" fillId="2" borderId="19" xfId="12" applyNumberFormat="1" applyFont="1" applyFill="1" applyBorder="1" applyAlignment="1">
      <alignment horizontal="center"/>
    </xf>
    <xf numFmtId="172" fontId="8" fillId="2" borderId="0" xfId="16" applyNumberFormat="1" applyFont="1" applyFill="1"/>
    <xf numFmtId="49" fontId="1" fillId="2" borderId="0" xfId="16" applyNumberFormat="1" applyFont="1" applyFill="1" applyBorder="1" applyAlignment="1">
      <alignment horizontal="center"/>
    </xf>
    <xf numFmtId="0" fontId="1" fillId="2" borderId="21" xfId="14" applyFont="1" applyFill="1" applyBorder="1" applyAlignment="1">
      <alignment horizontal="center" vertical="top"/>
    </xf>
    <xf numFmtId="49" fontId="1" fillId="2" borderId="22" xfId="14" applyNumberFormat="1" applyFont="1" applyFill="1" applyBorder="1" applyAlignment="1">
      <alignment wrapText="1"/>
    </xf>
    <xf numFmtId="49" fontId="1" fillId="2" borderId="27" xfId="11" applyNumberFormat="1" applyFont="1" applyFill="1" applyBorder="1" applyAlignment="1">
      <alignment horizontal="center" wrapText="1"/>
    </xf>
    <xf numFmtId="49" fontId="1" fillId="2" borderId="27" xfId="11" applyNumberFormat="1" applyFont="1" applyFill="1" applyBorder="1" applyAlignment="1">
      <alignment horizontal="center"/>
    </xf>
    <xf numFmtId="166" fontId="1" fillId="2" borderId="21" xfId="14" applyNumberFormat="1" applyFont="1" applyFill="1" applyBorder="1" applyAlignment="1">
      <alignment horizontal="right"/>
    </xf>
    <xf numFmtId="172" fontId="8" fillId="2" borderId="0" xfId="14" applyNumberFormat="1" applyFont="1" applyFill="1"/>
    <xf numFmtId="0" fontId="8" fillId="2" borderId="0" xfId="14" applyFont="1" applyFill="1"/>
    <xf numFmtId="0" fontId="1" fillId="2" borderId="16" xfId="14" applyFont="1" applyFill="1" applyBorder="1" applyAlignment="1">
      <alignment horizontal="center" vertical="top"/>
    </xf>
    <xf numFmtId="49" fontId="1" fillId="2" borderId="18" xfId="14" applyNumberFormat="1" applyFont="1" applyFill="1" applyBorder="1" applyAlignment="1">
      <alignment wrapText="1"/>
    </xf>
    <xf numFmtId="166" fontId="1" fillId="2" borderId="16" xfId="14" applyNumberFormat="1" applyFont="1" applyFill="1" applyBorder="1" applyAlignment="1">
      <alignment horizontal="right"/>
    </xf>
    <xf numFmtId="49" fontId="1" fillId="2" borderId="20" xfId="16" applyNumberFormat="1" applyFont="1" applyFill="1" applyBorder="1" applyAlignment="1">
      <alignment wrapText="1"/>
    </xf>
    <xf numFmtId="49" fontId="1" fillId="2" borderId="26" xfId="14" applyNumberFormat="1" applyFont="1" applyFill="1" applyBorder="1" applyAlignment="1">
      <alignment horizontal="center"/>
    </xf>
    <xf numFmtId="49" fontId="1" fillId="2" borderId="23" xfId="14" applyNumberFormat="1" applyFont="1" applyFill="1" applyBorder="1" applyAlignment="1">
      <alignment horizontal="center"/>
    </xf>
    <xf numFmtId="49" fontId="1" fillId="2" borderId="16" xfId="16" applyNumberFormat="1" applyFont="1" applyFill="1" applyBorder="1" applyAlignment="1">
      <alignment wrapText="1"/>
    </xf>
    <xf numFmtId="0" fontId="1" fillId="2" borderId="23" xfId="14" applyFont="1" applyFill="1" applyBorder="1" applyAlignment="1">
      <alignment horizontal="center" vertical="top"/>
    </xf>
    <xf numFmtId="49" fontId="1" fillId="2" borderId="23" xfId="11" applyNumberFormat="1" applyFont="1" applyFill="1" applyBorder="1" applyAlignment="1">
      <alignment horizontal="center" wrapText="1"/>
    </xf>
    <xf numFmtId="49" fontId="1" fillId="2" borderId="19" xfId="6" applyNumberFormat="1" applyFont="1" applyFill="1" applyBorder="1" applyAlignment="1">
      <alignment horizontal="left" wrapText="1"/>
    </xf>
    <xf numFmtId="166" fontId="1" fillId="2" borderId="16" xfId="5" applyNumberFormat="1" applyFont="1" applyFill="1" applyBorder="1" applyAlignment="1">
      <alignment horizontal="right"/>
    </xf>
    <xf numFmtId="169" fontId="10" fillId="2" borderId="0" xfId="0" applyNumberFormat="1" applyFont="1" applyFill="1"/>
    <xf numFmtId="169" fontId="14" fillId="2" borderId="0" xfId="0" applyNumberFormat="1" applyFont="1" applyFill="1"/>
    <xf numFmtId="0" fontId="1" fillId="2" borderId="0" xfId="0" applyFont="1" applyFill="1" applyBorder="1" applyAlignment="1">
      <alignment horizontal="center" vertical="top"/>
    </xf>
    <xf numFmtId="49" fontId="1" fillId="2" borderId="0" xfId="0" applyNumberFormat="1" applyFont="1" applyFill="1" applyBorder="1" applyAlignment="1">
      <alignment horizontal="center" wrapText="1"/>
    </xf>
    <xf numFmtId="166" fontId="1" fillId="2" borderId="0" xfId="0" applyNumberFormat="1" applyFont="1" applyFill="1" applyBorder="1" applyAlignment="1">
      <alignment horizontal="right"/>
    </xf>
    <xf numFmtId="0" fontId="23" fillId="2" borderId="0" xfId="0" applyFont="1" applyFill="1" applyBorder="1"/>
    <xf numFmtId="166" fontId="11" fillId="2" borderId="0" xfId="0" applyNumberFormat="1" applyFont="1" applyFill="1" applyBorder="1"/>
    <xf numFmtId="166" fontId="10" fillId="2" borderId="0" xfId="0" applyNumberFormat="1" applyFont="1" applyFill="1" applyBorder="1"/>
    <xf numFmtId="0" fontId="3" fillId="2" borderId="0" xfId="0" applyFont="1" applyFill="1" applyAlignment="1">
      <alignment horizontal="right" vertical="top"/>
    </xf>
    <xf numFmtId="170" fontId="1" fillId="2" borderId="0" xfId="1" applyNumberFormat="1" applyFont="1" applyFill="1" applyAlignment="1">
      <alignment horizontal="right"/>
    </xf>
    <xf numFmtId="170" fontId="1" fillId="2" borderId="1" xfId="1" applyNumberFormat="1" applyFont="1" applyFill="1" applyBorder="1" applyAlignment="1">
      <alignment horizontal="center" vertical="center" wrapText="1"/>
    </xf>
    <xf numFmtId="3" fontId="1" fillId="2" borderId="1" xfId="1" applyNumberFormat="1" applyFont="1" applyFill="1" applyBorder="1" applyAlignment="1">
      <alignment horizontal="center" vertical="center" wrapText="1"/>
    </xf>
    <xf numFmtId="167" fontId="2" fillId="2" borderId="1" xfId="1" applyNumberFormat="1" applyFont="1" applyFill="1" applyBorder="1" applyAlignment="1">
      <alignment horizontal="right"/>
    </xf>
    <xf numFmtId="167" fontId="1" fillId="2" borderId="1" xfId="1" applyNumberFormat="1" applyFont="1" applyFill="1" applyBorder="1" applyAlignment="1"/>
    <xf numFmtId="167" fontId="2" fillId="2" borderId="1" xfId="10" applyNumberFormat="1" applyFont="1" applyFill="1" applyBorder="1" applyAlignment="1">
      <alignment vertical="top"/>
    </xf>
    <xf numFmtId="170" fontId="1" fillId="2" borderId="0" xfId="1" applyNumberFormat="1" applyFont="1" applyFill="1"/>
    <xf numFmtId="170" fontId="1" fillId="2" borderId="0" xfId="7" applyNumberFormat="1" applyFont="1" applyFill="1" applyBorder="1"/>
    <xf numFmtId="0" fontId="1" fillId="2" borderId="0" xfId="1" applyFont="1" applyFill="1"/>
    <xf numFmtId="167" fontId="1" fillId="2" borderId="1" xfId="1" applyNumberFormat="1" applyFont="1" applyFill="1" applyBorder="1" applyAlignment="1">
      <alignment horizontal="right" vertical="top"/>
    </xf>
    <xf numFmtId="49" fontId="26" fillId="2" borderId="0" xfId="7" applyNumberFormat="1" applyFont="1" applyFill="1" applyBorder="1" applyAlignment="1">
      <alignment horizontal="center" vertical="top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166" fontId="1" fillId="2" borderId="23" xfId="16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left" vertical="top" wrapText="1"/>
    </xf>
    <xf numFmtId="0" fontId="2" fillId="2" borderId="1" xfId="3" applyFont="1" applyFill="1" applyBorder="1" applyAlignment="1"/>
    <xf numFmtId="166" fontId="2" fillId="2" borderId="1" xfId="10" applyNumberFormat="1" applyFont="1" applyFill="1" applyBorder="1" applyAlignment="1">
      <alignment horizontal="right" wrapText="1"/>
    </xf>
    <xf numFmtId="0" fontId="1" fillId="2" borderId="1" xfId="3" applyFont="1" applyFill="1" applyBorder="1" applyAlignment="1">
      <alignment horizontal="left" vertical="top" wrapText="1"/>
    </xf>
    <xf numFmtId="0" fontId="1" fillId="2" borderId="1" xfId="3" applyFont="1" applyFill="1" applyBorder="1" applyAlignment="1">
      <alignment horizontal="left"/>
    </xf>
    <xf numFmtId="166" fontId="1" fillId="2" borderId="1" xfId="3" applyNumberFormat="1" applyFont="1" applyFill="1" applyBorder="1" applyAlignment="1">
      <alignment horizontal="right" wrapText="1"/>
    </xf>
    <xf numFmtId="0" fontId="2" fillId="2" borderId="1" xfId="3" applyFont="1" applyFill="1" applyBorder="1" applyAlignment="1">
      <alignment wrapText="1"/>
    </xf>
    <xf numFmtId="166" fontId="2" fillId="2" borderId="1" xfId="3" applyNumberFormat="1" applyFont="1" applyFill="1" applyBorder="1" applyAlignment="1">
      <alignment horizontal="right" wrapText="1"/>
    </xf>
    <xf numFmtId="0" fontId="1" fillId="2" borderId="1" xfId="3" applyFont="1" applyFill="1" applyBorder="1" applyAlignment="1">
      <alignment wrapText="1"/>
    </xf>
    <xf numFmtId="49" fontId="1" fillId="2" borderId="1" xfId="3" applyNumberFormat="1" applyFont="1" applyFill="1" applyBorder="1" applyAlignment="1">
      <alignment horizontal="center" vertical="top"/>
    </xf>
    <xf numFmtId="49" fontId="2" fillId="2" borderId="1" xfId="3" applyNumberFormat="1" applyFont="1" applyFill="1" applyBorder="1" applyAlignment="1">
      <alignment horizontal="center" vertical="top"/>
    </xf>
    <xf numFmtId="49" fontId="3" fillId="2" borderId="1" xfId="3" applyNumberFormat="1" applyFont="1" applyFill="1" applyBorder="1" applyAlignment="1">
      <alignment horizontal="center" vertical="top"/>
    </xf>
    <xf numFmtId="0" fontId="3" fillId="2" borderId="1" xfId="3" applyFont="1" applyFill="1" applyBorder="1" applyAlignment="1">
      <alignment wrapText="1"/>
    </xf>
    <xf numFmtId="166" fontId="3" fillId="2" borderId="1" xfId="3" applyNumberFormat="1" applyFont="1" applyFill="1" applyBorder="1" applyAlignment="1">
      <alignment horizontal="right" wrapText="1"/>
    </xf>
    <xf numFmtId="49" fontId="1" fillId="2" borderId="1" xfId="11" applyNumberFormat="1" applyFont="1" applyFill="1" applyBorder="1" applyAlignment="1">
      <alignment wrapText="1"/>
    </xf>
    <xf numFmtId="49" fontId="1" fillId="2" borderId="1" xfId="3" applyNumberFormat="1" applyFont="1" applyFill="1" applyBorder="1" applyAlignment="1">
      <alignment horizontal="center"/>
    </xf>
    <xf numFmtId="1" fontId="1" fillId="2" borderId="1" xfId="3" applyNumberFormat="1" applyFont="1" applyFill="1" applyBorder="1" applyAlignment="1">
      <alignment horizontal="center" wrapText="1"/>
    </xf>
    <xf numFmtId="0" fontId="13" fillId="2" borderId="0" xfId="3" applyFont="1" applyFill="1"/>
    <xf numFmtId="2" fontId="16" fillId="2" borderId="0" xfId="0" applyNumberFormat="1" applyFont="1" applyFill="1"/>
    <xf numFmtId="0" fontId="3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49" fontId="3" fillId="2" borderId="2" xfId="0" applyNumberFormat="1" applyFont="1" applyFill="1" applyBorder="1" applyAlignment="1">
      <alignment horizontal="center"/>
    </xf>
    <xf numFmtId="49" fontId="3" fillId="2" borderId="9" xfId="0" applyNumberFormat="1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166" fontId="3" fillId="2" borderId="1" xfId="0" applyNumberFormat="1" applyFont="1" applyFill="1" applyBorder="1" applyAlignment="1">
      <alignment horizontal="right"/>
    </xf>
    <xf numFmtId="49" fontId="1" fillId="2" borderId="0" xfId="16" applyNumberFormat="1" applyFont="1" applyFill="1" applyBorder="1" applyAlignment="1">
      <alignment wrapText="1"/>
    </xf>
    <xf numFmtId="49" fontId="1" fillId="2" borderId="0" xfId="12" applyNumberFormat="1" applyFont="1" applyFill="1" applyBorder="1" applyAlignment="1">
      <alignment horizontal="center"/>
    </xf>
    <xf numFmtId="49" fontId="1" fillId="2" borderId="23" xfId="12" applyNumberFormat="1" applyFont="1" applyFill="1" applyBorder="1" applyAlignment="1">
      <alignment horizontal="center"/>
    </xf>
    <xf numFmtId="49" fontId="1" fillId="2" borderId="1" xfId="12" applyNumberFormat="1" applyFont="1" applyFill="1" applyBorder="1" applyAlignment="1">
      <alignment horizontal="center"/>
    </xf>
    <xf numFmtId="49" fontId="1" fillId="2" borderId="28" xfId="12" applyNumberFormat="1" applyFont="1" applyFill="1" applyBorder="1" applyAlignment="1">
      <alignment horizontal="center"/>
    </xf>
    <xf numFmtId="0" fontId="1" fillId="2" borderId="23" xfId="16" applyFont="1" applyFill="1" applyBorder="1" applyAlignment="1">
      <alignment horizontal="center" vertical="top"/>
    </xf>
    <xf numFmtId="49" fontId="1" fillId="2" borderId="26" xfId="16" applyNumberFormat="1" applyFont="1" applyFill="1" applyBorder="1" applyAlignment="1">
      <alignment wrapText="1"/>
    </xf>
    <xf numFmtId="0" fontId="1" fillId="2" borderId="1" xfId="16" applyFont="1" applyFill="1" applyBorder="1" applyAlignment="1">
      <alignment horizontal="center" vertical="top"/>
    </xf>
    <xf numFmtId="49" fontId="1" fillId="3" borderId="3" xfId="0" applyNumberFormat="1" applyFont="1" applyFill="1" applyBorder="1" applyAlignment="1">
      <alignment horizontal="left" wrapText="1"/>
    </xf>
    <xf numFmtId="49" fontId="3" fillId="2" borderId="3" xfId="0" applyNumberFormat="1" applyFont="1" applyFill="1" applyBorder="1" applyAlignment="1">
      <alignment wrapText="1"/>
    </xf>
    <xf numFmtId="49" fontId="3" fillId="2" borderId="1" xfId="0" applyNumberFormat="1" applyFont="1" applyFill="1" applyBorder="1" applyAlignment="1">
      <alignment horizontal="center" wrapText="1"/>
    </xf>
    <xf numFmtId="166" fontId="3" fillId="2" borderId="1" xfId="7" applyNumberFormat="1" applyFont="1" applyFill="1" applyBorder="1" applyAlignment="1">
      <alignment horizontal="right"/>
    </xf>
    <xf numFmtId="49" fontId="3" fillId="2" borderId="3" xfId="0" applyNumberFormat="1" applyFont="1" applyFill="1" applyBorder="1" applyAlignment="1">
      <alignment horizontal="left" wrapText="1"/>
    </xf>
    <xf numFmtId="0" fontId="3" fillId="2" borderId="1" xfId="5" applyFont="1" applyFill="1" applyBorder="1" applyAlignment="1">
      <alignment horizontal="left" vertical="top" wrapText="1"/>
    </xf>
    <xf numFmtId="49" fontId="1" fillId="2" borderId="3" xfId="7" applyNumberFormat="1" applyFont="1" applyFill="1" applyBorder="1" applyAlignment="1">
      <alignment wrapText="1"/>
    </xf>
    <xf numFmtId="0" fontId="2" fillId="2" borderId="1" xfId="7" applyFont="1" applyFill="1" applyBorder="1" applyAlignment="1">
      <alignment vertical="top" wrapText="1"/>
    </xf>
    <xf numFmtId="0" fontId="1" fillId="2" borderId="1" xfId="7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wrapText="1"/>
    </xf>
    <xf numFmtId="0" fontId="12" fillId="2" borderId="0" xfId="1" applyFont="1" applyFill="1"/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vertical="top" wrapText="1"/>
    </xf>
    <xf numFmtId="0" fontId="1" fillId="2" borderId="0" xfId="3" applyFont="1" applyFill="1"/>
    <xf numFmtId="0" fontId="3" fillId="2" borderId="1" xfId="7" applyFont="1" applyFill="1" applyBorder="1" applyAlignment="1">
      <alignment horizontal="center"/>
    </xf>
    <xf numFmtId="1" fontId="3" fillId="2" borderId="1" xfId="7" applyNumberFormat="1" applyFont="1" applyFill="1" applyBorder="1" applyAlignment="1">
      <alignment horizontal="center"/>
    </xf>
    <xf numFmtId="0" fontId="2" fillId="2" borderId="1" xfId="3" applyFont="1" applyFill="1" applyBorder="1" applyAlignment="1">
      <alignment horizontal="center" vertical="top" wrapText="1"/>
    </xf>
    <xf numFmtId="0" fontId="4" fillId="2" borderId="1" xfId="3" applyFont="1" applyFill="1" applyBorder="1" applyAlignment="1">
      <alignment horizontal="center" vertical="top" wrapText="1"/>
    </xf>
    <xf numFmtId="0" fontId="2" fillId="2" borderId="1" xfId="3" applyFont="1" applyFill="1" applyBorder="1" applyAlignment="1">
      <alignment horizontal="center" vertical="top"/>
    </xf>
    <xf numFmtId="166" fontId="4" fillId="2" borderId="1" xfId="3" applyNumberFormat="1" applyFont="1" applyFill="1" applyBorder="1" applyAlignment="1">
      <alignment horizontal="right" wrapText="1"/>
    </xf>
    <xf numFmtId="0" fontId="3" fillId="2" borderId="1" xfId="3" applyFont="1" applyFill="1" applyBorder="1" applyAlignment="1">
      <alignment horizontal="center" vertical="top" wrapText="1"/>
    </xf>
    <xf numFmtId="0" fontId="1" fillId="2" borderId="1" xfId="3" applyFont="1" applyFill="1" applyBorder="1" applyAlignment="1">
      <alignment horizontal="center" vertical="top"/>
    </xf>
    <xf numFmtId="49" fontId="3" fillId="2" borderId="1" xfId="9" applyNumberFormat="1" applyFont="1" applyFill="1" applyBorder="1" applyAlignment="1">
      <alignment wrapText="1"/>
    </xf>
    <xf numFmtId="49" fontId="1" fillId="2" borderId="1" xfId="7" applyNumberFormat="1" applyFont="1" applyFill="1" applyBorder="1" applyAlignment="1">
      <alignment horizontal="left" wrapText="1"/>
    </xf>
    <xf numFmtId="166" fontId="2" fillId="2" borderId="1" xfId="3" applyNumberFormat="1" applyFont="1" applyFill="1" applyBorder="1" applyAlignment="1"/>
    <xf numFmtId="0" fontId="13" fillId="2" borderId="1" xfId="3" applyFont="1" applyFill="1" applyBorder="1" applyAlignment="1">
      <alignment vertical="top"/>
    </xf>
    <xf numFmtId="166" fontId="1" fillId="2" borderId="1" xfId="3" applyNumberFormat="1" applyFont="1" applyFill="1" applyBorder="1" applyAlignment="1"/>
    <xf numFmtId="49" fontId="3" fillId="2" borderId="3" xfId="7" applyNumberFormat="1" applyFont="1" applyFill="1" applyBorder="1" applyAlignment="1">
      <alignment wrapText="1"/>
    </xf>
    <xf numFmtId="49" fontId="3" fillId="2" borderId="1" xfId="7" applyNumberFormat="1" applyFont="1" applyFill="1" applyBorder="1" applyAlignment="1">
      <alignment horizontal="center"/>
    </xf>
    <xf numFmtId="49" fontId="1" fillId="3" borderId="3" xfId="0" applyNumberFormat="1" applyFont="1" applyFill="1" applyBorder="1" applyAlignment="1">
      <alignment wrapText="1"/>
    </xf>
    <xf numFmtId="49" fontId="1" fillId="2" borderId="1" xfId="14" applyNumberFormat="1" applyFont="1" applyFill="1" applyBorder="1" applyAlignment="1">
      <alignment wrapText="1"/>
    </xf>
    <xf numFmtId="49" fontId="1" fillId="2" borderId="19" xfId="14" applyNumberFormat="1" applyFont="1" applyFill="1" applyBorder="1" applyAlignment="1">
      <alignment wrapText="1"/>
    </xf>
    <xf numFmtId="49" fontId="1" fillId="2" borderId="30" xfId="14" applyNumberFormat="1" applyFont="1" applyFill="1" applyBorder="1" applyAlignment="1">
      <alignment wrapText="1"/>
    </xf>
    <xf numFmtId="49" fontId="1" fillId="2" borderId="13" xfId="14" applyNumberFormat="1" applyFont="1" applyFill="1" applyBorder="1" applyAlignment="1">
      <alignment wrapText="1"/>
    </xf>
    <xf numFmtId="49" fontId="3" fillId="2" borderId="1" xfId="7" applyNumberFormat="1" applyFont="1" applyFill="1" applyBorder="1" applyAlignment="1">
      <alignment horizontal="left" wrapText="1"/>
    </xf>
    <xf numFmtId="49" fontId="3" fillId="2" borderId="1" xfId="7" applyNumberFormat="1" applyFont="1" applyFill="1" applyBorder="1" applyAlignment="1">
      <alignment horizontal="center" wrapText="1"/>
    </xf>
    <xf numFmtId="49" fontId="2" fillId="2" borderId="2" xfId="7" applyNumberFormat="1" applyFont="1" applyFill="1" applyBorder="1" applyAlignment="1">
      <alignment horizontal="center"/>
    </xf>
    <xf numFmtId="49" fontId="1" fillId="2" borderId="1" xfId="7" applyNumberFormat="1" applyFont="1" applyFill="1" applyBorder="1" applyAlignment="1">
      <alignment horizontal="center" wrapText="1"/>
    </xf>
    <xf numFmtId="170" fontId="1" fillId="2" borderId="0" xfId="7" applyNumberFormat="1" applyFont="1" applyFill="1" applyBorder="1" applyAlignment="1">
      <alignment horizontal="right"/>
    </xf>
    <xf numFmtId="0" fontId="3" fillId="2" borderId="9" xfId="3" applyFont="1" applyFill="1" applyBorder="1" applyAlignment="1">
      <alignment horizontal="center" wrapText="1"/>
    </xf>
    <xf numFmtId="0" fontId="3" fillId="2" borderId="1" xfId="3" applyFont="1" applyFill="1" applyBorder="1" applyAlignment="1">
      <alignment horizontal="center" wrapText="1"/>
    </xf>
    <xf numFmtId="0" fontId="4" fillId="2" borderId="5" xfId="3" applyFont="1" applyFill="1" applyBorder="1" applyAlignment="1">
      <alignment horizontal="center" vertical="top"/>
    </xf>
    <xf numFmtId="175" fontId="4" fillId="2" borderId="5" xfId="13" applyNumberFormat="1" applyFont="1" applyFill="1" applyBorder="1" applyAlignment="1">
      <alignment horizontal="right" vertical="center"/>
    </xf>
    <xf numFmtId="0" fontId="4" fillId="2" borderId="12" xfId="3" applyFont="1" applyFill="1" applyBorder="1" applyAlignment="1">
      <alignment horizontal="center" vertical="top"/>
    </xf>
    <xf numFmtId="0" fontId="3" fillId="2" borderId="12" xfId="3" applyFont="1" applyFill="1" applyBorder="1" applyAlignment="1">
      <alignment horizontal="center" vertical="top"/>
    </xf>
    <xf numFmtId="0" fontId="4" fillId="2" borderId="12" xfId="3" applyFont="1" applyFill="1" applyBorder="1" applyAlignment="1">
      <alignment wrapText="1"/>
    </xf>
    <xf numFmtId="0" fontId="3" fillId="2" borderId="12" xfId="3" applyFont="1" applyFill="1" applyBorder="1" applyAlignment="1">
      <alignment wrapText="1"/>
    </xf>
    <xf numFmtId="0" fontId="3" fillId="2" borderId="12" xfId="3" applyFont="1" applyFill="1" applyBorder="1" applyAlignment="1">
      <alignment vertical="top" wrapText="1"/>
    </xf>
    <xf numFmtId="0" fontId="3" fillId="2" borderId="13" xfId="3" applyFont="1" applyFill="1" applyBorder="1" applyAlignment="1">
      <alignment horizontal="center" vertical="top"/>
    </xf>
    <xf numFmtId="0" fontId="3" fillId="2" borderId="13" xfId="3" applyFont="1" applyFill="1" applyBorder="1" applyAlignment="1">
      <alignment vertical="top" wrapText="1"/>
    </xf>
    <xf numFmtId="0" fontId="3" fillId="2" borderId="0" xfId="3" applyFont="1" applyFill="1" applyBorder="1" applyAlignment="1">
      <alignment horizontal="center" vertical="top"/>
    </xf>
    <xf numFmtId="0" fontId="1" fillId="2" borderId="0" xfId="3" applyFont="1" applyFill="1" applyBorder="1" applyAlignment="1">
      <alignment wrapText="1"/>
    </xf>
    <xf numFmtId="175" fontId="1" fillId="2" borderId="0" xfId="3" applyNumberFormat="1" applyFont="1" applyFill="1" applyBorder="1" applyAlignment="1"/>
    <xf numFmtId="166" fontId="4" fillId="2" borderId="1" xfId="7" applyNumberFormat="1" applyFont="1" applyFill="1" applyBorder="1" applyAlignment="1">
      <alignment horizontal="right"/>
    </xf>
    <xf numFmtId="166" fontId="3" fillId="2" borderId="1" xfId="0" applyNumberFormat="1" applyFont="1" applyFill="1" applyBorder="1"/>
    <xf numFmtId="174" fontId="19" fillId="2" borderId="0" xfId="0" applyNumberFormat="1" applyFont="1" applyFill="1"/>
    <xf numFmtId="166" fontId="19" fillId="2" borderId="0" xfId="0" applyNumberFormat="1" applyFont="1" applyFill="1"/>
    <xf numFmtId="166" fontId="2" fillId="2" borderId="1" xfId="19" applyNumberFormat="1" applyFont="1" applyFill="1" applyBorder="1" applyAlignment="1">
      <alignment horizontal="right" vertical="top"/>
    </xf>
    <xf numFmtId="166" fontId="1" fillId="2" borderId="1" xfId="19" applyNumberFormat="1" applyFont="1" applyFill="1" applyBorder="1" applyAlignment="1">
      <alignment horizontal="right"/>
    </xf>
    <xf numFmtId="166" fontId="1" fillId="2" borderId="23" xfId="14" applyNumberFormat="1" applyFont="1" applyFill="1" applyBorder="1" applyAlignment="1">
      <alignment horizontal="right"/>
    </xf>
    <xf numFmtId="166" fontId="1" fillId="2" borderId="1" xfId="16" applyNumberFormat="1" applyFont="1" applyFill="1" applyBorder="1" applyAlignment="1">
      <alignment horizontal="right"/>
    </xf>
    <xf numFmtId="0" fontId="1" fillId="2" borderId="0" xfId="1" applyFont="1" applyFill="1" applyBorder="1" applyAlignment="1">
      <alignment wrapText="1"/>
    </xf>
    <xf numFmtId="0" fontId="1" fillId="2" borderId="1" xfId="1" applyFont="1" applyFill="1" applyBorder="1" applyAlignment="1">
      <alignment horizontal="center" vertical="top"/>
    </xf>
    <xf numFmtId="0" fontId="1" fillId="2" borderId="1" xfId="1" applyFont="1" applyFill="1" applyBorder="1" applyAlignment="1">
      <alignment vertical="top"/>
    </xf>
    <xf numFmtId="0" fontId="1" fillId="2" borderId="0" xfId="7" applyFont="1" applyFill="1" applyBorder="1"/>
    <xf numFmtId="0" fontId="1" fillId="2" borderId="0" xfId="7" applyFont="1" applyFill="1" applyAlignment="1">
      <alignment wrapText="1"/>
    </xf>
    <xf numFmtId="166" fontId="1" fillId="2" borderId="21" xfId="16" applyNumberFormat="1" applyFont="1" applyFill="1" applyBorder="1" applyAlignment="1">
      <alignment horizontal="right"/>
    </xf>
    <xf numFmtId="0" fontId="4" fillId="2" borderId="0" xfId="0" applyFont="1" applyFill="1" applyAlignment="1">
      <alignment horizontal="center" wrapText="1"/>
    </xf>
    <xf numFmtId="0" fontId="3" fillId="2" borderId="0" xfId="0" applyFont="1" applyFill="1" applyAlignment="1"/>
    <xf numFmtId="0" fontId="4" fillId="2" borderId="1" xfId="0" applyFont="1" applyFill="1" applyBorder="1" applyAlignment="1">
      <alignment vertical="top"/>
    </xf>
    <xf numFmtId="166" fontId="4" fillId="2" borderId="1" xfId="0" applyNumberFormat="1" applyFont="1" applyFill="1" applyBorder="1" applyAlignment="1">
      <alignment vertical="top"/>
    </xf>
    <xf numFmtId="0" fontId="1" fillId="2" borderId="1" xfId="1" applyFont="1" applyFill="1" applyBorder="1" applyAlignment="1">
      <alignment wrapText="1"/>
    </xf>
    <xf numFmtId="166" fontId="3" fillId="2" borderId="0" xfId="19" applyNumberFormat="1" applyFont="1" applyFill="1" applyAlignment="1">
      <alignment horizontal="right"/>
    </xf>
    <xf numFmtId="166" fontId="1" fillId="2" borderId="0" xfId="7" applyNumberFormat="1" applyFont="1" applyFill="1" applyAlignment="1">
      <alignment horizontal="right"/>
    </xf>
    <xf numFmtId="166" fontId="20" fillId="2" borderId="1" xfId="0" applyNumberFormat="1" applyFont="1" applyFill="1" applyBorder="1"/>
    <xf numFmtId="2" fontId="11" fillId="2" borderId="1" xfId="0" applyNumberFormat="1" applyFont="1" applyFill="1" applyBorder="1"/>
    <xf numFmtId="177" fontId="11" fillId="2" borderId="1" xfId="0" applyNumberFormat="1" applyFont="1" applyFill="1" applyBorder="1"/>
    <xf numFmtId="166" fontId="1" fillId="2" borderId="19" xfId="16" applyNumberFormat="1" applyFont="1" applyFill="1" applyBorder="1" applyAlignment="1">
      <alignment horizontal="right"/>
    </xf>
    <xf numFmtId="0" fontId="1" fillId="2" borderId="1" xfId="0" applyFont="1" applyFill="1" applyBorder="1"/>
    <xf numFmtId="0" fontId="1" fillId="2" borderId="21" xfId="16" applyFont="1" applyFill="1" applyBorder="1" applyAlignment="1">
      <alignment horizontal="center" vertical="top"/>
    </xf>
    <xf numFmtId="49" fontId="1" fillId="2" borderId="32" xfId="16" applyNumberFormat="1" applyFont="1" applyFill="1" applyBorder="1" applyAlignment="1">
      <alignment horizontal="center"/>
    </xf>
    <xf numFmtId="49" fontId="1" fillId="2" borderId="23" xfId="11" applyNumberFormat="1" applyFont="1" applyFill="1" applyBorder="1" applyAlignment="1">
      <alignment horizontal="center"/>
    </xf>
    <xf numFmtId="49" fontId="1" fillId="2" borderId="22" xfId="16" applyNumberFormat="1" applyFont="1" applyFill="1" applyBorder="1" applyAlignment="1">
      <alignment wrapText="1"/>
    </xf>
    <xf numFmtId="49" fontId="1" fillId="2" borderId="21" xfId="12" applyNumberFormat="1" applyFont="1" applyFill="1" applyBorder="1" applyAlignment="1">
      <alignment horizontal="center" wrapText="1"/>
    </xf>
    <xf numFmtId="49" fontId="1" fillId="2" borderId="21" xfId="12" applyNumberFormat="1" applyFont="1" applyFill="1" applyBorder="1" applyAlignment="1">
      <alignment horizontal="center"/>
    </xf>
    <xf numFmtId="49" fontId="1" fillId="2" borderId="31" xfId="12" applyNumberFormat="1" applyFont="1" applyFill="1" applyBorder="1" applyAlignment="1">
      <alignment horizontal="center"/>
    </xf>
    <xf numFmtId="49" fontId="1" fillId="2" borderId="34" xfId="12" applyNumberFormat="1" applyFont="1" applyFill="1" applyBorder="1" applyAlignment="1">
      <alignment horizontal="center"/>
    </xf>
    <xf numFmtId="49" fontId="1" fillId="2" borderId="22" xfId="12" applyNumberFormat="1" applyFont="1" applyFill="1" applyBorder="1" applyAlignment="1">
      <alignment horizontal="center"/>
    </xf>
    <xf numFmtId="49" fontId="1" fillId="2" borderId="1" xfId="16" applyNumberFormat="1" applyFont="1" applyFill="1" applyBorder="1" applyAlignment="1">
      <alignment wrapText="1"/>
    </xf>
    <xf numFmtId="166" fontId="1" fillId="2" borderId="33" xfId="16" applyNumberFormat="1" applyFont="1" applyFill="1" applyBorder="1" applyAlignment="1">
      <alignment horizontal="right"/>
    </xf>
    <xf numFmtId="0" fontId="1" fillId="2" borderId="1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/>
    </xf>
    <xf numFmtId="0" fontId="3" fillId="2" borderId="0" xfId="3" applyFont="1" applyFill="1"/>
    <xf numFmtId="0" fontId="3" fillId="2" borderId="0" xfId="7" applyFont="1" applyFill="1" applyAlignment="1">
      <alignment horizontal="right"/>
    </xf>
    <xf numFmtId="168" fontId="3" fillId="2" borderId="0" xfId="3" applyNumberFormat="1" applyFont="1" applyFill="1"/>
    <xf numFmtId="170" fontId="3" fillId="2" borderId="0" xfId="1" applyNumberFormat="1" applyFont="1" applyFill="1" applyAlignment="1">
      <alignment horizontal="right"/>
    </xf>
    <xf numFmtId="0" fontId="3" fillId="2" borderId="1" xfId="3" applyFont="1" applyFill="1" applyBorder="1"/>
    <xf numFmtId="0" fontId="4" fillId="2" borderId="1" xfId="3" applyFont="1" applyFill="1" applyBorder="1" applyAlignment="1"/>
    <xf numFmtId="166" fontId="4" fillId="2" borderId="1" xfId="10" applyNumberFormat="1" applyFont="1" applyFill="1" applyBorder="1" applyAlignment="1">
      <alignment horizontal="right" wrapText="1"/>
    </xf>
    <xf numFmtId="166" fontId="3" fillId="2" borderId="0" xfId="3" applyNumberFormat="1" applyFont="1" applyFill="1"/>
    <xf numFmtId="0" fontId="3" fillId="2" borderId="1" xfId="3" applyFont="1" applyFill="1" applyBorder="1" applyAlignment="1">
      <alignment horizontal="left"/>
    </xf>
    <xf numFmtId="49" fontId="4" fillId="2" borderId="1" xfId="3" applyNumberFormat="1" applyFont="1" applyFill="1" applyBorder="1" applyAlignment="1">
      <alignment horizontal="center" vertical="top"/>
    </xf>
    <xf numFmtId="0" fontId="4" fillId="2" borderId="1" xfId="3" applyFont="1" applyFill="1" applyBorder="1" applyAlignment="1">
      <alignment wrapText="1"/>
    </xf>
    <xf numFmtId="0" fontId="4" fillId="2" borderId="0" xfId="3" applyFont="1" applyFill="1"/>
    <xf numFmtId="0" fontId="4" fillId="2" borderId="1" xfId="3" applyFont="1" applyFill="1" applyBorder="1" applyAlignment="1">
      <alignment horizontal="center" vertical="top"/>
    </xf>
    <xf numFmtId="0" fontId="3" fillId="2" borderId="1" xfId="3" applyFont="1" applyFill="1" applyBorder="1" applyAlignment="1">
      <alignment horizontal="center" vertical="top"/>
    </xf>
    <xf numFmtId="0" fontId="3" fillId="2" borderId="1" xfId="3" applyFont="1" applyFill="1" applyBorder="1" applyAlignment="1"/>
    <xf numFmtId="49" fontId="4" fillId="2" borderId="1" xfId="7" applyNumberFormat="1" applyFont="1" applyFill="1" applyBorder="1" applyAlignment="1">
      <alignment horizontal="left" wrapText="1"/>
    </xf>
    <xf numFmtId="166" fontId="4" fillId="2" borderId="1" xfId="3" applyNumberFormat="1" applyFont="1" applyFill="1" applyBorder="1" applyAlignment="1"/>
    <xf numFmtId="0" fontId="3" fillId="2" borderId="1" xfId="3" applyFont="1" applyFill="1" applyBorder="1" applyAlignment="1">
      <alignment vertical="top"/>
    </xf>
    <xf numFmtId="166" fontId="3" fillId="2" borderId="1" xfId="3" applyNumberFormat="1" applyFont="1" applyFill="1" applyBorder="1" applyAlignment="1"/>
    <xf numFmtId="0" fontId="25" fillId="2" borderId="1" xfId="3" applyFont="1" applyFill="1" applyBorder="1"/>
    <xf numFmtId="49" fontId="4" fillId="2" borderId="0" xfId="7" applyNumberFormat="1" applyFont="1" applyFill="1" applyBorder="1" applyAlignment="1">
      <alignment vertical="top" wrapText="1"/>
    </xf>
    <xf numFmtId="49" fontId="3" fillId="2" borderId="0" xfId="7" applyNumberFormat="1" applyFont="1" applyFill="1" applyBorder="1" applyAlignment="1">
      <alignment horizontal="center"/>
    </xf>
    <xf numFmtId="168" fontId="3" fillId="2" borderId="0" xfId="7" applyNumberFormat="1" applyFont="1" applyFill="1"/>
    <xf numFmtId="0" fontId="3" fillId="2" borderId="0" xfId="7" applyFont="1" applyFill="1"/>
    <xf numFmtId="0" fontId="3" fillId="2" borderId="1" xfId="3" applyFont="1" applyFill="1" applyBorder="1" applyAlignment="1">
      <alignment horizontal="center"/>
    </xf>
    <xf numFmtId="173" fontId="1" fillId="0" borderId="0" xfId="3" applyNumberFormat="1" applyFont="1" applyFill="1"/>
    <xf numFmtId="173" fontId="2" fillId="0" borderId="0" xfId="3" applyNumberFormat="1" applyFont="1" applyFill="1"/>
    <xf numFmtId="168" fontId="2" fillId="0" borderId="0" xfId="3" applyNumberFormat="1" applyFont="1" applyFill="1" applyAlignment="1">
      <alignment shrinkToFit="1"/>
    </xf>
    <xf numFmtId="0" fontId="2" fillId="0" borderId="0" xfId="3" applyFont="1" applyFill="1"/>
    <xf numFmtId="49" fontId="2" fillId="2" borderId="0" xfId="7" applyNumberFormat="1" applyFont="1" applyFill="1" applyBorder="1" applyAlignment="1">
      <alignment vertical="top" wrapText="1"/>
    </xf>
    <xf numFmtId="49" fontId="1" fillId="0" borderId="0" xfId="7" applyNumberFormat="1" applyFont="1" applyFill="1" applyBorder="1" applyAlignment="1">
      <alignment horizontal="center"/>
    </xf>
    <xf numFmtId="49" fontId="3" fillId="0" borderId="0" xfId="7" applyNumberFormat="1" applyFont="1" applyFill="1" applyBorder="1" applyAlignment="1">
      <alignment horizontal="center"/>
    </xf>
    <xf numFmtId="168" fontId="1" fillId="0" borderId="0" xfId="7" applyNumberFormat="1" applyFont="1" applyFill="1"/>
    <xf numFmtId="175" fontId="3" fillId="2" borderId="15" xfId="0" applyNumberFormat="1" applyFont="1" applyFill="1" applyBorder="1"/>
    <xf numFmtId="175" fontId="3" fillId="2" borderId="15" xfId="0" applyNumberFormat="1" applyFont="1" applyFill="1" applyBorder="1" applyAlignment="1">
      <alignment vertical="top"/>
    </xf>
    <xf numFmtId="175" fontId="3" fillId="2" borderId="14" xfId="0" applyNumberFormat="1" applyFont="1" applyFill="1" applyBorder="1" applyAlignment="1">
      <alignment vertical="top"/>
    </xf>
    <xf numFmtId="167" fontId="4" fillId="2" borderId="1" xfId="0" applyNumberFormat="1" applyFont="1" applyFill="1" applyBorder="1" applyAlignment="1">
      <alignment horizontal="right"/>
    </xf>
    <xf numFmtId="167" fontId="3" fillId="2" borderId="1" xfId="0" applyNumberFormat="1" applyFont="1" applyFill="1" applyBorder="1" applyAlignment="1">
      <alignment horizontal="right"/>
    </xf>
    <xf numFmtId="167" fontId="1" fillId="2" borderId="1" xfId="0" applyNumberFormat="1" applyFont="1" applyFill="1" applyBorder="1" applyAlignment="1">
      <alignment horizontal="right"/>
    </xf>
    <xf numFmtId="167" fontId="1" fillId="2" borderId="1" xfId="1" applyNumberFormat="1" applyFont="1" applyFill="1" applyBorder="1" applyAlignment="1">
      <alignment horizontal="right"/>
    </xf>
    <xf numFmtId="167" fontId="3" fillId="2" borderId="1" xfId="0" applyNumberFormat="1" applyFont="1" applyFill="1" applyBorder="1" applyAlignment="1">
      <alignment horizontal="right" vertical="top"/>
    </xf>
    <xf numFmtId="167" fontId="1" fillId="2" borderId="1" xfId="0" applyNumberFormat="1" applyFont="1" applyFill="1" applyBorder="1" applyAlignment="1">
      <alignment horizontal="right" vertical="top"/>
    </xf>
    <xf numFmtId="0" fontId="11" fillId="2" borderId="0" xfId="7" applyFont="1" applyFill="1" applyAlignment="1">
      <alignment wrapText="1"/>
    </xf>
    <xf numFmtId="0" fontId="11" fillId="2" borderId="0" xfId="7" applyFont="1" applyFill="1" applyAlignment="1"/>
    <xf numFmtId="175" fontId="1" fillId="2" borderId="12" xfId="19" applyNumberFormat="1" applyFont="1" applyFill="1" applyBorder="1" applyAlignment="1">
      <alignment vertical="top"/>
    </xf>
    <xf numFmtId="175" fontId="3" fillId="2" borderId="12" xfId="0" applyNumberFormat="1" applyFont="1" applyFill="1" applyBorder="1"/>
    <xf numFmtId="175" fontId="3" fillId="2" borderId="12" xfId="0" applyNumberFormat="1" applyFont="1" applyFill="1" applyBorder="1" applyAlignment="1">
      <alignment vertical="top"/>
    </xf>
    <xf numFmtId="175" fontId="3" fillId="2" borderId="13" xfId="0" applyNumberFormat="1" applyFont="1" applyFill="1" applyBorder="1" applyAlignment="1">
      <alignment vertical="top"/>
    </xf>
    <xf numFmtId="0" fontId="4" fillId="2" borderId="6" xfId="3" applyFont="1" applyFill="1" applyBorder="1" applyAlignment="1">
      <alignment vertical="top" wrapText="1"/>
    </xf>
    <xf numFmtId="0" fontId="4" fillId="2" borderId="0" xfId="3" applyFont="1" applyFill="1" applyBorder="1" applyAlignment="1">
      <alignment vertical="top" wrapText="1"/>
    </xf>
    <xf numFmtId="0" fontId="3" fillId="2" borderId="0" xfId="3" applyFont="1" applyFill="1" applyBorder="1" applyAlignment="1">
      <alignment vertical="top" wrapText="1"/>
    </xf>
    <xf numFmtId="0" fontId="3" fillId="2" borderId="4" xfId="3" applyFont="1" applyFill="1" applyBorder="1" applyAlignment="1">
      <alignment vertical="top" wrapText="1"/>
    </xf>
    <xf numFmtId="0" fontId="3" fillId="2" borderId="5" xfId="3" applyFont="1" applyFill="1" applyBorder="1" applyAlignment="1">
      <alignment horizontal="center" wrapText="1"/>
    </xf>
    <xf numFmtId="175" fontId="4" fillId="2" borderId="12" xfId="13" applyNumberFormat="1" applyFont="1" applyFill="1" applyBorder="1" applyAlignment="1">
      <alignment horizontal="right" vertical="center"/>
    </xf>
    <xf numFmtId="175" fontId="3" fillId="2" borderId="12" xfId="13" applyNumberFormat="1" applyFont="1" applyFill="1" applyBorder="1" applyAlignment="1">
      <alignment horizontal="right" vertical="center"/>
    </xf>
    <xf numFmtId="175" fontId="3" fillId="2" borderId="13" xfId="13" applyNumberFormat="1" applyFont="1" applyFill="1" applyBorder="1" applyAlignment="1">
      <alignment horizontal="right" vertical="center"/>
    </xf>
    <xf numFmtId="175" fontId="4" fillId="2" borderId="8" xfId="13" applyNumberFormat="1" applyFont="1" applyFill="1" applyBorder="1" applyAlignment="1">
      <alignment horizontal="right" vertical="center"/>
    </xf>
    <xf numFmtId="175" fontId="4" fillId="2" borderId="11" xfId="13" applyNumberFormat="1" applyFont="1" applyFill="1" applyBorder="1" applyAlignment="1">
      <alignment horizontal="right" vertical="center"/>
    </xf>
    <xf numFmtId="175" fontId="3" fillId="2" borderId="11" xfId="13" applyNumberFormat="1" applyFont="1" applyFill="1" applyBorder="1" applyAlignment="1">
      <alignment horizontal="right" vertical="center"/>
    </xf>
    <xf numFmtId="175" fontId="3" fillId="2" borderId="10" xfId="13" applyNumberFormat="1" applyFont="1" applyFill="1" applyBorder="1" applyAlignment="1">
      <alignment horizontal="right" vertical="center"/>
    </xf>
    <xf numFmtId="175" fontId="3" fillId="2" borderId="11" xfId="0" applyNumberFormat="1" applyFont="1" applyFill="1" applyBorder="1"/>
    <xf numFmtId="175" fontId="3" fillId="2" borderId="11" xfId="0" applyNumberFormat="1" applyFont="1" applyFill="1" applyBorder="1" applyAlignment="1">
      <alignment vertical="top"/>
    </xf>
    <xf numFmtId="175" fontId="1" fillId="2" borderId="11" xfId="19" applyNumberFormat="1" applyFont="1" applyFill="1" applyBorder="1" applyAlignment="1">
      <alignment vertical="top"/>
    </xf>
    <xf numFmtId="175" fontId="3" fillId="2" borderId="10" xfId="0" applyNumberFormat="1" applyFont="1" applyFill="1" applyBorder="1" applyAlignment="1">
      <alignment vertical="top"/>
    </xf>
    <xf numFmtId="0" fontId="1" fillId="2" borderId="0" xfId="3" applyFont="1" applyFill="1" applyBorder="1" applyAlignment="1">
      <alignment horizontal="center" wrapText="1"/>
    </xf>
    <xf numFmtId="0" fontId="1" fillId="2" borderId="7" xfId="1" applyFont="1" applyFill="1" applyBorder="1" applyAlignment="1">
      <alignment vertical="top"/>
    </xf>
    <xf numFmtId="0" fontId="2" fillId="2" borderId="7" xfId="7" applyFont="1" applyFill="1" applyBorder="1" applyAlignment="1">
      <alignment vertical="top" wrapText="1"/>
    </xf>
    <xf numFmtId="167" fontId="2" fillId="2" borderId="7" xfId="10" applyNumberFormat="1" applyFont="1" applyFill="1" applyBorder="1" applyAlignment="1">
      <alignment vertical="top"/>
    </xf>
    <xf numFmtId="166" fontId="6" fillId="2" borderId="1" xfId="1" applyNumberFormat="1" applyFont="1" applyFill="1" applyBorder="1" applyAlignment="1">
      <alignment vertical="top"/>
    </xf>
    <xf numFmtId="0" fontId="6" fillId="2" borderId="1" xfId="0" applyFont="1" applyFill="1" applyBorder="1" applyAlignment="1">
      <alignment vertical="top"/>
    </xf>
    <xf numFmtId="0" fontId="6" fillId="2" borderId="1" xfId="5" applyFont="1" applyFill="1" applyBorder="1" applyAlignment="1">
      <alignment vertical="top" wrapText="1"/>
    </xf>
    <xf numFmtId="0" fontId="1" fillId="2" borderId="1" xfId="0" applyFont="1" applyFill="1" applyBorder="1" applyAlignment="1">
      <alignment wrapText="1"/>
    </xf>
    <xf numFmtId="49" fontId="1" fillId="2" borderId="3" xfId="8" applyNumberFormat="1" applyFont="1" applyFill="1" applyBorder="1" applyAlignment="1">
      <alignment wrapText="1"/>
    </xf>
    <xf numFmtId="49" fontId="1" fillId="2" borderId="19" xfId="4" applyNumberFormat="1" applyFont="1" applyFill="1" applyBorder="1" applyAlignment="1">
      <alignment wrapText="1"/>
    </xf>
    <xf numFmtId="166" fontId="3" fillId="2" borderId="1" xfId="0" applyNumberFormat="1" applyFont="1" applyFill="1" applyBorder="1" applyAlignment="1"/>
    <xf numFmtId="49" fontId="1" fillId="2" borderId="18" xfId="5" applyNumberFormat="1" applyFont="1" applyFill="1" applyBorder="1" applyAlignment="1">
      <alignment wrapText="1"/>
    </xf>
    <xf numFmtId="49" fontId="1" fillId="2" borderId="1" xfId="11" applyNumberFormat="1" applyFont="1" applyFill="1" applyBorder="1" applyAlignment="1">
      <alignment horizontal="center" wrapText="1"/>
    </xf>
    <xf numFmtId="49" fontId="1" fillId="2" borderId="1" xfId="11" applyNumberFormat="1" applyFont="1" applyFill="1" applyBorder="1" applyAlignment="1">
      <alignment horizontal="center"/>
    </xf>
    <xf numFmtId="0" fontId="11" fillId="2" borderId="0" xfId="7" applyFont="1" applyFill="1" applyAlignment="1">
      <alignment horizontal="center"/>
    </xf>
    <xf numFmtId="166" fontId="11" fillId="2" borderId="0" xfId="7" applyNumberFormat="1" applyFont="1" applyFill="1"/>
    <xf numFmtId="0" fontId="11" fillId="2" borderId="0" xfId="7" applyFont="1" applyFill="1" applyBorder="1" applyAlignment="1">
      <alignment horizontal="center" vertical="top"/>
    </xf>
    <xf numFmtId="168" fontId="3" fillId="2" borderId="0" xfId="7" applyNumberFormat="1" applyFont="1" applyFill="1" applyBorder="1" applyAlignment="1">
      <alignment horizontal="right"/>
    </xf>
    <xf numFmtId="168" fontId="3" fillId="2" borderId="1" xfId="3" applyNumberFormat="1" applyFont="1" applyFill="1" applyBorder="1" applyAlignment="1">
      <alignment horizontal="center" vertical="center"/>
    </xf>
    <xf numFmtId="49" fontId="3" fillId="2" borderId="1" xfId="7" applyNumberFormat="1" applyFont="1" applyFill="1" applyBorder="1" applyAlignment="1">
      <alignment horizontal="center" vertical="top" wrapText="1"/>
    </xf>
    <xf numFmtId="0" fontId="3" fillId="2" borderId="1" xfId="7" applyFont="1" applyFill="1" applyBorder="1" applyAlignment="1">
      <alignment horizontal="center" vertical="top"/>
    </xf>
    <xf numFmtId="49" fontId="4" fillId="2" borderId="1" xfId="7" applyNumberFormat="1" applyFont="1" applyFill="1" applyBorder="1" applyAlignment="1">
      <alignment horizontal="left" vertical="top" wrapText="1"/>
    </xf>
    <xf numFmtId="49" fontId="3" fillId="2" borderId="9" xfId="7" applyNumberFormat="1" applyFont="1" applyFill="1" applyBorder="1" applyAlignment="1">
      <alignment horizontal="center" vertical="top"/>
    </xf>
    <xf numFmtId="49" fontId="3" fillId="2" borderId="1" xfId="7" applyNumberFormat="1" applyFont="1" applyFill="1" applyBorder="1" applyAlignment="1">
      <alignment horizontal="center" vertical="top"/>
    </xf>
    <xf numFmtId="166" fontId="4" fillId="2" borderId="1" xfId="7" applyNumberFormat="1" applyFont="1" applyFill="1" applyBorder="1" applyAlignment="1">
      <alignment horizontal="right" vertical="top"/>
    </xf>
    <xf numFmtId="172" fontId="27" fillId="2" borderId="0" xfId="7" applyNumberFormat="1" applyFont="1" applyFill="1"/>
    <xf numFmtId="0" fontId="4" fillId="2" borderId="1" xfId="5" applyFont="1" applyFill="1" applyBorder="1" applyAlignment="1">
      <alignment horizontal="center" vertical="top"/>
    </xf>
    <xf numFmtId="49" fontId="4" fillId="2" borderId="4" xfId="7" applyNumberFormat="1" applyFont="1" applyFill="1" applyBorder="1" applyAlignment="1">
      <alignment horizontal="center"/>
    </xf>
    <xf numFmtId="49" fontId="4" fillId="2" borderId="10" xfId="7" applyNumberFormat="1" applyFont="1" applyFill="1" applyBorder="1" applyAlignment="1">
      <alignment horizontal="center"/>
    </xf>
    <xf numFmtId="49" fontId="4" fillId="2" borderId="1" xfId="7" applyNumberFormat="1" applyFont="1" applyFill="1" applyBorder="1" applyAlignment="1">
      <alignment horizontal="center"/>
    </xf>
    <xf numFmtId="0" fontId="10" fillId="2" borderId="0" xfId="7" applyFont="1" applyFill="1"/>
    <xf numFmtId="49" fontId="3" fillId="2" borderId="1" xfId="0" applyNumberFormat="1" applyFont="1" applyFill="1" applyBorder="1" applyAlignment="1">
      <alignment wrapText="1"/>
    </xf>
    <xf numFmtId="49" fontId="3" fillId="2" borderId="17" xfId="11" applyNumberFormat="1" applyFont="1" applyFill="1" applyBorder="1" applyAlignment="1">
      <alignment horizontal="center"/>
    </xf>
    <xf numFmtId="49" fontId="3" fillId="2" borderId="18" xfId="16" applyNumberFormat="1" applyFont="1" applyFill="1" applyBorder="1" applyAlignment="1">
      <alignment horizontal="center"/>
    </xf>
    <xf numFmtId="49" fontId="3" fillId="2" borderId="19" xfId="16" applyNumberFormat="1" applyFont="1" applyFill="1" applyBorder="1" applyAlignment="1">
      <alignment horizontal="center" wrapText="1"/>
    </xf>
    <xf numFmtId="49" fontId="3" fillId="2" borderId="16" xfId="16" applyNumberFormat="1" applyFont="1" applyFill="1" applyBorder="1" applyAlignment="1">
      <alignment horizontal="center"/>
    </xf>
    <xf numFmtId="49" fontId="3" fillId="2" borderId="19" xfId="11" applyNumberFormat="1" applyFont="1" applyFill="1" applyBorder="1" applyAlignment="1">
      <alignment wrapText="1"/>
    </xf>
    <xf numFmtId="49" fontId="3" fillId="2" borderId="1" xfId="5" applyNumberFormat="1" applyFont="1" applyFill="1" applyBorder="1" applyAlignment="1">
      <alignment horizontal="left" wrapText="1"/>
    </xf>
    <xf numFmtId="2" fontId="3" fillId="2" borderId="3" xfId="0" applyNumberFormat="1" applyFont="1" applyFill="1" applyBorder="1" applyAlignment="1">
      <alignment wrapText="1"/>
    </xf>
    <xf numFmtId="49" fontId="3" fillId="2" borderId="1" xfId="7" applyNumberFormat="1" applyFont="1" applyFill="1" applyBorder="1" applyAlignment="1">
      <alignment wrapText="1"/>
    </xf>
    <xf numFmtId="0" fontId="4" fillId="2" borderId="1" xfId="7" applyFont="1" applyFill="1" applyBorder="1" applyAlignment="1">
      <alignment horizontal="center" vertical="top"/>
    </xf>
    <xf numFmtId="49" fontId="4" fillId="2" borderId="9" xfId="7" applyNumberFormat="1" applyFont="1" applyFill="1" applyBorder="1" applyAlignment="1">
      <alignment horizontal="center"/>
    </xf>
    <xf numFmtId="49" fontId="4" fillId="2" borderId="3" xfId="7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left" wrapText="1"/>
    </xf>
    <xf numFmtId="49" fontId="3" fillId="2" borderId="3" xfId="5" applyNumberFormat="1" applyFont="1" applyFill="1" applyBorder="1" applyAlignment="1">
      <alignment horizontal="left" wrapText="1"/>
    </xf>
    <xf numFmtId="49" fontId="3" fillId="2" borderId="2" xfId="6" applyNumberFormat="1" applyFont="1" applyFill="1" applyBorder="1" applyAlignment="1">
      <alignment horizontal="center"/>
    </xf>
    <xf numFmtId="49" fontId="3" fillId="2" borderId="9" xfId="6" applyNumberFormat="1" applyFont="1" applyFill="1" applyBorder="1" applyAlignment="1">
      <alignment horizontal="center"/>
    </xf>
    <xf numFmtId="49" fontId="3" fillId="2" borderId="3" xfId="6" applyNumberFormat="1" applyFont="1" applyFill="1" applyBorder="1" applyAlignment="1">
      <alignment horizontal="center"/>
    </xf>
    <xf numFmtId="49" fontId="3" fillId="2" borderId="1" xfId="6" applyNumberFormat="1" applyFont="1" applyFill="1" applyBorder="1" applyAlignment="1">
      <alignment horizontal="center"/>
    </xf>
    <xf numFmtId="49" fontId="3" fillId="2" borderId="4" xfId="7" applyNumberFormat="1" applyFont="1" applyFill="1" applyBorder="1" applyAlignment="1">
      <alignment horizontal="center"/>
    </xf>
    <xf numFmtId="49" fontId="3" fillId="2" borderId="11" xfId="7" applyNumberFormat="1" applyFont="1" applyFill="1" applyBorder="1" applyAlignment="1">
      <alignment horizontal="center"/>
    </xf>
    <xf numFmtId="49" fontId="4" fillId="2" borderId="1" xfId="7" applyNumberFormat="1" applyFont="1" applyFill="1" applyBorder="1" applyAlignment="1">
      <alignment wrapText="1"/>
    </xf>
    <xf numFmtId="49" fontId="3" fillId="2" borderId="19" xfId="16" applyNumberFormat="1" applyFont="1" applyFill="1" applyBorder="1" applyAlignment="1">
      <alignment wrapText="1"/>
    </xf>
    <xf numFmtId="49" fontId="3" fillId="2" borderId="16" xfId="6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wrapText="1"/>
    </xf>
    <xf numFmtId="49" fontId="3" fillId="3" borderId="3" xfId="0" applyNumberFormat="1" applyFont="1" applyFill="1" applyBorder="1" applyAlignment="1">
      <alignment horizontal="left" wrapText="1"/>
    </xf>
    <xf numFmtId="49" fontId="3" fillId="2" borderId="10" xfId="7" applyNumberFormat="1" applyFont="1" applyFill="1" applyBorder="1" applyAlignment="1">
      <alignment horizontal="center"/>
    </xf>
    <xf numFmtId="49" fontId="3" fillId="2" borderId="1" xfId="6" applyNumberFormat="1" applyFont="1" applyFill="1" applyBorder="1" applyAlignment="1">
      <alignment horizontal="left" wrapText="1"/>
    </xf>
    <xf numFmtId="49" fontId="3" fillId="2" borderId="3" xfId="4" applyNumberFormat="1" applyFont="1" applyFill="1" applyBorder="1" applyAlignment="1" applyProtection="1">
      <alignment horizontal="left" wrapText="1"/>
      <protection hidden="1"/>
    </xf>
    <xf numFmtId="49" fontId="3" fillId="2" borderId="3" xfId="6" applyNumberFormat="1" applyFont="1" applyFill="1" applyBorder="1" applyAlignment="1">
      <alignment horizontal="left" wrapText="1"/>
    </xf>
    <xf numFmtId="49" fontId="3" fillId="2" borderId="1" xfId="4" applyNumberFormat="1" applyFont="1" applyFill="1" applyBorder="1" applyAlignment="1" applyProtection="1">
      <alignment horizontal="left" wrapText="1"/>
      <protection hidden="1"/>
    </xf>
    <xf numFmtId="49" fontId="3" fillId="2" borderId="30" xfId="14" applyNumberFormat="1" applyFont="1" applyFill="1" applyBorder="1" applyAlignment="1">
      <alignment wrapText="1"/>
    </xf>
    <xf numFmtId="49" fontId="3" fillId="2" borderId="13" xfId="14" applyNumberFormat="1" applyFont="1" applyFill="1" applyBorder="1" applyAlignment="1">
      <alignment wrapText="1"/>
    </xf>
    <xf numFmtId="49" fontId="3" fillId="2" borderId="1" xfId="14" applyNumberFormat="1" applyFont="1" applyFill="1" applyBorder="1" applyAlignment="1">
      <alignment wrapText="1"/>
    </xf>
    <xf numFmtId="49" fontId="3" fillId="2" borderId="19" xfId="14" applyNumberFormat="1" applyFont="1" applyFill="1" applyBorder="1" applyAlignment="1">
      <alignment wrapText="1"/>
    </xf>
    <xf numFmtId="0" fontId="3" fillId="2" borderId="1" xfId="5" applyFont="1" applyFill="1" applyBorder="1" applyAlignment="1">
      <alignment horizontal="center" vertical="top"/>
    </xf>
    <xf numFmtId="49" fontId="3" fillId="2" borderId="9" xfId="5" applyNumberFormat="1" applyFont="1" applyFill="1" applyBorder="1" applyAlignment="1">
      <alignment horizontal="center"/>
    </xf>
    <xf numFmtId="49" fontId="3" fillId="2" borderId="14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/>
    </xf>
    <xf numFmtId="49" fontId="4" fillId="2" borderId="1" xfId="5" applyNumberFormat="1" applyFont="1" applyFill="1" applyBorder="1" applyAlignment="1">
      <alignment horizontal="left" wrapText="1"/>
    </xf>
    <xf numFmtId="49" fontId="4" fillId="2" borderId="9" xfId="6" applyNumberFormat="1" applyFont="1" applyFill="1" applyBorder="1" applyAlignment="1">
      <alignment horizontal="center"/>
    </xf>
    <xf numFmtId="168" fontId="4" fillId="2" borderId="1" xfId="7" applyNumberFormat="1" applyFont="1" applyFill="1" applyBorder="1" applyAlignment="1">
      <alignment horizontal="center"/>
    </xf>
    <xf numFmtId="49" fontId="3" fillId="2" borderId="25" xfId="11" applyNumberFormat="1" applyFont="1" applyFill="1" applyBorder="1" applyAlignment="1">
      <alignment horizontal="center"/>
    </xf>
    <xf numFmtId="49" fontId="3" fillId="2" borderId="20" xfId="16" applyNumberFormat="1" applyFont="1" applyFill="1" applyBorder="1" applyAlignment="1">
      <alignment horizontal="center"/>
    </xf>
    <xf numFmtId="49" fontId="3" fillId="2" borderId="26" xfId="16" applyNumberFormat="1" applyFont="1" applyFill="1" applyBorder="1" applyAlignment="1">
      <alignment horizontal="center"/>
    </xf>
    <xf numFmtId="49" fontId="3" fillId="2" borderId="19" xfId="5" applyNumberFormat="1" applyFont="1" applyFill="1" applyBorder="1" applyAlignment="1">
      <alignment wrapText="1"/>
    </xf>
    <xf numFmtId="49" fontId="3" fillId="2" borderId="19" xfId="16" applyNumberFormat="1" applyFont="1" applyFill="1" applyBorder="1" applyAlignment="1">
      <alignment horizontal="center"/>
    </xf>
    <xf numFmtId="49" fontId="3" fillId="2" borderId="1" xfId="5" applyNumberFormat="1" applyFont="1" applyFill="1" applyBorder="1" applyAlignment="1">
      <alignment wrapText="1"/>
    </xf>
    <xf numFmtId="49" fontId="3" fillId="2" borderId="3" xfId="5" applyNumberFormat="1" applyFont="1" applyFill="1" applyBorder="1" applyAlignment="1">
      <alignment horizontal="center"/>
    </xf>
    <xf numFmtId="49" fontId="3" fillId="2" borderId="1" xfId="5" applyNumberFormat="1" applyFont="1" applyFill="1" applyBorder="1" applyAlignment="1">
      <alignment horizontal="center"/>
    </xf>
    <xf numFmtId="49" fontId="3" fillId="2" borderId="6" xfId="6" applyNumberFormat="1" applyFont="1" applyFill="1" applyBorder="1" applyAlignment="1">
      <alignment horizontal="center"/>
    </xf>
    <xf numFmtId="49" fontId="3" fillId="2" borderId="7" xfId="5" applyNumberFormat="1" applyFont="1" applyFill="1" applyBorder="1" applyAlignment="1">
      <alignment horizontal="center"/>
    </xf>
    <xf numFmtId="49" fontId="3" fillId="2" borderId="8" xfId="5" applyNumberFormat="1" applyFont="1" applyFill="1" applyBorder="1" applyAlignment="1">
      <alignment horizontal="center"/>
    </xf>
    <xf numFmtId="49" fontId="3" fillId="2" borderId="17" xfId="6" applyNumberFormat="1" applyFont="1" applyFill="1" applyBorder="1" applyAlignment="1">
      <alignment horizontal="center"/>
    </xf>
    <xf numFmtId="49" fontId="3" fillId="2" borderId="3" xfId="5" applyNumberFormat="1" applyFont="1" applyFill="1" applyBorder="1" applyAlignment="1">
      <alignment wrapText="1"/>
    </xf>
    <xf numFmtId="49" fontId="3" fillId="2" borderId="0" xfId="16" applyNumberFormat="1" applyFont="1" applyFill="1" applyBorder="1" applyAlignment="1">
      <alignment horizontal="center"/>
    </xf>
    <xf numFmtId="49" fontId="3" fillId="2" borderId="22" xfId="14" applyNumberFormat="1" applyFont="1" applyFill="1" applyBorder="1" applyAlignment="1">
      <alignment wrapText="1"/>
    </xf>
    <xf numFmtId="49" fontId="3" fillId="2" borderId="18" xfId="14" applyNumberFormat="1" applyFont="1" applyFill="1" applyBorder="1" applyAlignment="1">
      <alignment horizontal="center"/>
    </xf>
    <xf numFmtId="49" fontId="3" fillId="2" borderId="19" xfId="14" applyNumberFormat="1" applyFont="1" applyFill="1" applyBorder="1" applyAlignment="1">
      <alignment horizontal="center"/>
    </xf>
    <xf numFmtId="49" fontId="3" fillId="2" borderId="21" xfId="14" applyNumberFormat="1" applyFont="1" applyFill="1" applyBorder="1" applyAlignment="1">
      <alignment horizontal="center"/>
    </xf>
    <xf numFmtId="49" fontId="3" fillId="2" borderId="29" xfId="14" applyNumberFormat="1" applyFont="1" applyFill="1" applyBorder="1" applyAlignment="1">
      <alignment wrapText="1"/>
    </xf>
    <xf numFmtId="49" fontId="3" fillId="2" borderId="18" xfId="6" applyNumberFormat="1" applyFont="1" applyFill="1" applyBorder="1" applyAlignment="1">
      <alignment horizontal="center"/>
    </xf>
    <xf numFmtId="49" fontId="3" fillId="2" borderId="16" xfId="14" applyNumberFormat="1" applyFont="1" applyFill="1" applyBorder="1" applyAlignment="1">
      <alignment horizontal="center"/>
    </xf>
    <xf numFmtId="49" fontId="3" fillId="2" borderId="29" xfId="16" applyNumberFormat="1" applyFont="1" applyFill="1" applyBorder="1" applyAlignment="1">
      <alignment wrapText="1"/>
    </xf>
    <xf numFmtId="49" fontId="3" fillId="2" borderId="20" xfId="14" applyNumberFormat="1" applyFont="1" applyFill="1" applyBorder="1" applyAlignment="1">
      <alignment horizontal="center"/>
    </xf>
    <xf numFmtId="49" fontId="3" fillId="2" borderId="26" xfId="14" applyNumberFormat="1" applyFont="1" applyFill="1" applyBorder="1" applyAlignment="1">
      <alignment horizontal="center"/>
    </xf>
    <xf numFmtId="49" fontId="3" fillId="2" borderId="23" xfId="14" applyNumberFormat="1" applyFont="1" applyFill="1" applyBorder="1" applyAlignment="1">
      <alignment horizontal="center"/>
    </xf>
    <xf numFmtId="49" fontId="3" fillId="2" borderId="16" xfId="16" applyNumberFormat="1" applyFont="1" applyFill="1" applyBorder="1" applyAlignment="1">
      <alignment wrapText="1"/>
    </xf>
    <xf numFmtId="49" fontId="3" fillId="2" borderId="20" xfId="6" applyNumberFormat="1" applyFont="1" applyFill="1" applyBorder="1" applyAlignment="1">
      <alignment horizontal="center"/>
    </xf>
    <xf numFmtId="49" fontId="3" fillId="2" borderId="2" xfId="11" applyNumberFormat="1" applyFont="1" applyFill="1" applyBorder="1" applyAlignment="1">
      <alignment horizontal="center"/>
    </xf>
    <xf numFmtId="49" fontId="3" fillId="2" borderId="3" xfId="5" applyNumberFormat="1" applyFont="1" applyFill="1" applyBorder="1" applyAlignment="1">
      <alignment horizontal="center" wrapText="1"/>
    </xf>
    <xf numFmtId="49" fontId="3" fillId="2" borderId="17" xfId="5" applyNumberFormat="1" applyFont="1" applyFill="1" applyBorder="1" applyAlignment="1">
      <alignment horizontal="center"/>
    </xf>
    <xf numFmtId="49" fontId="3" fillId="2" borderId="18" xfId="5" applyNumberFormat="1" applyFont="1" applyFill="1" applyBorder="1" applyAlignment="1">
      <alignment horizontal="center"/>
    </xf>
    <xf numFmtId="49" fontId="3" fillId="2" borderId="19" xfId="5" applyNumberFormat="1" applyFont="1" applyFill="1" applyBorder="1" applyAlignment="1">
      <alignment horizontal="center"/>
    </xf>
    <xf numFmtId="49" fontId="3" fillId="2" borderId="16" xfId="5" applyNumberFormat="1" applyFont="1" applyFill="1" applyBorder="1" applyAlignment="1">
      <alignment horizontal="center"/>
    </xf>
    <xf numFmtId="49" fontId="4" fillId="2" borderId="19" xfId="8" applyNumberFormat="1" applyFont="1" applyFill="1" applyBorder="1" applyAlignment="1">
      <alignment wrapText="1"/>
    </xf>
    <xf numFmtId="49" fontId="4" fillId="2" borderId="17" xfId="11" applyNumberFormat="1" applyFont="1" applyFill="1" applyBorder="1" applyAlignment="1">
      <alignment horizontal="center"/>
    </xf>
    <xf numFmtId="49" fontId="4" fillId="2" borderId="18" xfId="16" applyNumberFormat="1" applyFont="1" applyFill="1" applyBorder="1" applyAlignment="1">
      <alignment horizontal="center"/>
    </xf>
    <xf numFmtId="49" fontId="4" fillId="2" borderId="19" xfId="16" applyNumberFormat="1" applyFont="1" applyFill="1" applyBorder="1" applyAlignment="1">
      <alignment horizontal="center" wrapText="1"/>
    </xf>
    <xf numFmtId="49" fontId="4" fillId="2" borderId="16" xfId="16" applyNumberFormat="1" applyFont="1" applyFill="1" applyBorder="1" applyAlignment="1">
      <alignment horizontal="center"/>
    </xf>
    <xf numFmtId="49" fontId="4" fillId="2" borderId="1" xfId="6" applyNumberFormat="1" applyFont="1" applyFill="1" applyBorder="1" applyAlignment="1">
      <alignment horizontal="center"/>
    </xf>
    <xf numFmtId="11" fontId="3" fillId="2" borderId="3" xfId="0" applyNumberFormat="1" applyFont="1" applyFill="1" applyBorder="1" applyAlignment="1">
      <alignment wrapText="1"/>
    </xf>
    <xf numFmtId="49" fontId="4" fillId="2" borderId="3" xfId="0" applyNumberFormat="1" applyFont="1" applyFill="1" applyBorder="1" applyAlignment="1">
      <alignment wrapText="1"/>
    </xf>
    <xf numFmtId="49" fontId="4" fillId="2" borderId="2" xfId="0" applyNumberFormat="1" applyFont="1" applyFill="1" applyBorder="1" applyAlignment="1">
      <alignment horizontal="center"/>
    </xf>
    <xf numFmtId="49" fontId="4" fillId="2" borderId="9" xfId="0" applyNumberFormat="1" applyFont="1" applyFill="1" applyBorder="1" applyAlignment="1">
      <alignment horizontal="center"/>
    </xf>
    <xf numFmtId="49" fontId="4" fillId="2" borderId="3" xfId="0" applyNumberFormat="1" applyFont="1" applyFill="1" applyBorder="1" applyAlignment="1">
      <alignment horizontal="center"/>
    </xf>
    <xf numFmtId="49" fontId="4" fillId="2" borderId="1" xfId="4" applyNumberFormat="1" applyFont="1" applyFill="1" applyBorder="1" applyAlignment="1" applyProtection="1">
      <alignment horizontal="left" wrapText="1"/>
      <protection hidden="1"/>
    </xf>
    <xf numFmtId="49" fontId="4" fillId="2" borderId="1" xfId="0" applyNumberFormat="1" applyFont="1" applyFill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left" vertical="top" wrapText="1"/>
    </xf>
    <xf numFmtId="166" fontId="3" fillId="2" borderId="1" xfId="7" applyNumberFormat="1" applyFont="1" applyFill="1" applyBorder="1"/>
    <xf numFmtId="49" fontId="3" fillId="2" borderId="0" xfId="0" applyNumberFormat="1" applyFont="1" applyFill="1" applyBorder="1" applyAlignment="1">
      <alignment horizontal="left" vertical="top" wrapText="1"/>
    </xf>
    <xf numFmtId="166" fontId="3" fillId="2" borderId="0" xfId="7" applyNumberFormat="1" applyFont="1" applyFill="1" applyBorder="1"/>
    <xf numFmtId="166" fontId="11" fillId="2" borderId="0" xfId="7" applyNumberFormat="1" applyFont="1" applyFill="1" applyAlignment="1">
      <alignment horizontal="center"/>
    </xf>
    <xf numFmtId="49" fontId="11" fillId="2" borderId="0" xfId="7" applyNumberFormat="1" applyFont="1" applyFill="1" applyAlignment="1">
      <alignment vertical="top" wrapText="1"/>
    </xf>
    <xf numFmtId="49" fontId="11" fillId="2" borderId="0" xfId="7" applyNumberFormat="1" applyFont="1" applyFill="1" applyAlignment="1">
      <alignment horizontal="center"/>
    </xf>
    <xf numFmtId="49" fontId="1" fillId="2" borderId="3" xfId="7" applyNumberFormat="1" applyFont="1" applyFill="1" applyBorder="1" applyAlignment="1">
      <alignment horizontal="center"/>
    </xf>
    <xf numFmtId="166" fontId="3" fillId="2" borderId="4" xfId="7" applyNumberFormat="1" applyFont="1" applyFill="1" applyBorder="1" applyAlignment="1">
      <alignment horizontal="right"/>
    </xf>
    <xf numFmtId="166" fontId="3" fillId="2" borderId="1" xfId="7" applyNumberFormat="1" applyFont="1" applyFill="1" applyBorder="1" applyAlignment="1">
      <alignment horizontal="center" vertical="center"/>
    </xf>
    <xf numFmtId="176" fontId="27" fillId="2" borderId="0" xfId="7" applyNumberFormat="1" applyFont="1" applyFill="1"/>
    <xf numFmtId="0" fontId="11" fillId="2" borderId="1" xfId="7" applyFont="1" applyFill="1" applyBorder="1" applyAlignment="1">
      <alignment horizontal="center" vertical="top"/>
    </xf>
    <xf numFmtId="166" fontId="3" fillId="2" borderId="1" xfId="7" applyNumberFormat="1" applyFont="1" applyFill="1" applyBorder="1" applyAlignment="1"/>
    <xf numFmtId="49" fontId="3" fillId="2" borderId="26" xfId="16" applyNumberFormat="1" applyFont="1" applyFill="1" applyBorder="1" applyAlignment="1">
      <alignment wrapText="1"/>
    </xf>
    <xf numFmtId="49" fontId="3" fillId="2" borderId="19" xfId="12" applyNumberFormat="1" applyFont="1" applyFill="1" applyBorder="1" applyAlignment="1">
      <alignment horizontal="center"/>
    </xf>
    <xf numFmtId="49" fontId="3" fillId="2" borderId="23" xfId="12" applyNumberFormat="1" applyFont="1" applyFill="1" applyBorder="1" applyAlignment="1">
      <alignment horizontal="center"/>
    </xf>
    <xf numFmtId="49" fontId="3" fillId="2" borderId="28" xfId="12" applyNumberFormat="1" applyFont="1" applyFill="1" applyBorder="1" applyAlignment="1">
      <alignment horizontal="center"/>
    </xf>
    <xf numFmtId="49" fontId="3" fillId="2" borderId="1" xfId="12" applyNumberFormat="1" applyFont="1" applyFill="1" applyBorder="1" applyAlignment="1">
      <alignment horizontal="center"/>
    </xf>
    <xf numFmtId="49" fontId="3" fillId="2" borderId="6" xfId="11" applyNumberFormat="1" applyFont="1" applyFill="1" applyBorder="1" applyAlignment="1">
      <alignment horizontal="center"/>
    </xf>
    <xf numFmtId="49" fontId="3" fillId="2" borderId="21" xfId="14" applyNumberFormat="1" applyFont="1" applyFill="1" applyBorder="1" applyAlignment="1">
      <alignment wrapText="1"/>
    </xf>
    <xf numFmtId="49" fontId="3" fillId="2" borderId="31" xfId="6" applyNumberFormat="1" applyFont="1" applyFill="1" applyBorder="1" applyAlignment="1">
      <alignment horizontal="center"/>
    </xf>
    <xf numFmtId="49" fontId="3" fillId="2" borderId="34" xfId="14" applyNumberFormat="1" applyFont="1" applyFill="1" applyBorder="1" applyAlignment="1">
      <alignment horizontal="center"/>
    </xf>
    <xf numFmtId="49" fontId="3" fillId="2" borderId="22" xfId="14" applyNumberFormat="1" applyFont="1" applyFill="1" applyBorder="1" applyAlignment="1">
      <alignment horizontal="center"/>
    </xf>
    <xf numFmtId="166" fontId="3" fillId="2" borderId="13" xfId="7" applyNumberFormat="1" applyFont="1" applyFill="1" applyBorder="1" applyAlignment="1">
      <alignment horizontal="right"/>
    </xf>
    <xf numFmtId="49" fontId="3" fillId="2" borderId="16" xfId="14" applyNumberFormat="1" applyFont="1" applyFill="1" applyBorder="1" applyAlignment="1">
      <alignment wrapText="1"/>
    </xf>
    <xf numFmtId="49" fontId="3" fillId="2" borderId="17" xfId="5" applyNumberFormat="1" applyFont="1" applyFill="1" applyBorder="1" applyAlignment="1">
      <alignment wrapText="1"/>
    </xf>
    <xf numFmtId="49" fontId="3" fillId="2" borderId="24" xfId="6" applyNumberFormat="1" applyFont="1" applyFill="1" applyBorder="1" applyAlignment="1">
      <alignment horizontal="center"/>
    </xf>
    <xf numFmtId="49" fontId="3" fillId="2" borderId="9" xfId="14" applyNumberFormat="1" applyFont="1" applyFill="1" applyBorder="1" applyAlignment="1">
      <alignment horizontal="center"/>
    </xf>
    <xf numFmtId="49" fontId="3" fillId="2" borderId="3" xfId="14" applyNumberFormat="1" applyFont="1" applyFill="1" applyBorder="1" applyAlignment="1">
      <alignment horizontal="center"/>
    </xf>
    <xf numFmtId="49" fontId="3" fillId="2" borderId="1" xfId="14" applyNumberFormat="1" applyFont="1" applyFill="1" applyBorder="1" applyAlignment="1">
      <alignment horizontal="center"/>
    </xf>
    <xf numFmtId="49" fontId="3" fillId="2" borderId="7" xfId="14" applyNumberFormat="1" applyFont="1" applyFill="1" applyBorder="1" applyAlignment="1">
      <alignment horizontal="center"/>
    </xf>
    <xf numFmtId="49" fontId="3" fillId="2" borderId="8" xfId="14" applyNumberFormat="1" applyFont="1" applyFill="1" applyBorder="1" applyAlignment="1">
      <alignment horizontal="center"/>
    </xf>
    <xf numFmtId="49" fontId="3" fillId="2" borderId="18" xfId="16" applyNumberFormat="1" applyFont="1" applyFill="1" applyBorder="1" applyAlignment="1">
      <alignment wrapText="1"/>
    </xf>
    <xf numFmtId="49" fontId="3" fillId="2" borderId="35" xfId="11" applyNumberFormat="1" applyFont="1" applyFill="1" applyBorder="1" applyAlignment="1">
      <alignment horizontal="center"/>
    </xf>
    <xf numFmtId="49" fontId="3" fillId="2" borderId="36" xfId="16" applyNumberFormat="1" applyFont="1" applyFill="1" applyBorder="1" applyAlignment="1">
      <alignment horizontal="center"/>
    </xf>
    <xf numFmtId="49" fontId="3" fillId="2" borderId="37" xfId="16" applyNumberFormat="1" applyFont="1" applyFill="1" applyBorder="1" applyAlignment="1">
      <alignment horizontal="center" wrapText="1"/>
    </xf>
    <xf numFmtId="49" fontId="3" fillId="2" borderId="21" xfId="16" applyNumberFormat="1" applyFont="1" applyFill="1" applyBorder="1" applyAlignment="1">
      <alignment horizontal="center"/>
    </xf>
    <xf numFmtId="0" fontId="4" fillId="2" borderId="5" xfId="7" applyFont="1" applyFill="1" applyBorder="1" applyAlignment="1">
      <alignment horizontal="center" vertical="top"/>
    </xf>
    <xf numFmtId="49" fontId="3" fillId="2" borderId="26" xfId="5" applyNumberFormat="1" applyFont="1" applyFill="1" applyBorder="1" applyAlignment="1">
      <alignment wrapText="1"/>
    </xf>
    <xf numFmtId="49" fontId="3" fillId="2" borderId="26" xfId="16" applyNumberFormat="1" applyFont="1" applyFill="1" applyBorder="1" applyAlignment="1">
      <alignment horizontal="center" wrapText="1"/>
    </xf>
    <xf numFmtId="49" fontId="3" fillId="2" borderId="23" xfId="16" applyNumberFormat="1" applyFont="1" applyFill="1" applyBorder="1" applyAlignment="1">
      <alignment horizontal="center"/>
    </xf>
    <xf numFmtId="166" fontId="3" fillId="2" borderId="5" xfId="7" applyNumberFormat="1" applyFont="1" applyFill="1" applyBorder="1" applyAlignment="1">
      <alignment horizontal="right"/>
    </xf>
    <xf numFmtId="49" fontId="3" fillId="2" borderId="1" xfId="16" applyNumberFormat="1" applyFont="1" applyFill="1" applyBorder="1" applyAlignment="1">
      <alignment horizontal="center"/>
    </xf>
    <xf numFmtId="49" fontId="3" fillId="2" borderId="1" xfId="16" applyNumberFormat="1" applyFont="1" applyFill="1" applyBorder="1" applyAlignment="1">
      <alignment wrapText="1"/>
    </xf>
    <xf numFmtId="49" fontId="3" fillId="2" borderId="3" xfId="8" applyNumberFormat="1" applyFont="1" applyFill="1" applyBorder="1" applyAlignment="1">
      <alignment wrapText="1"/>
    </xf>
    <xf numFmtId="49" fontId="4" fillId="2" borderId="1" xfId="4" applyNumberFormat="1" applyFont="1" applyFill="1" applyBorder="1" applyAlignment="1" applyProtection="1">
      <alignment horizontal="left" vertical="top" wrapText="1"/>
      <protection hidden="1"/>
    </xf>
    <xf numFmtId="0" fontId="3" fillId="2" borderId="0" xfId="7" applyFont="1" applyFill="1" applyBorder="1" applyAlignment="1">
      <alignment horizontal="center" vertical="top"/>
    </xf>
    <xf numFmtId="49" fontId="3" fillId="2" borderId="0" xfId="0" applyNumberFormat="1" applyFont="1" applyFill="1" applyBorder="1" applyAlignment="1">
      <alignment wrapText="1"/>
    </xf>
    <xf numFmtId="166" fontId="3" fillId="2" borderId="0" xfId="7" applyNumberFormat="1" applyFont="1" applyFill="1" applyBorder="1" applyAlignment="1">
      <alignment horizontal="right"/>
    </xf>
    <xf numFmtId="49" fontId="1" fillId="2" borderId="16" xfId="6" applyNumberFormat="1" applyFont="1" applyFill="1" applyBorder="1" applyAlignment="1">
      <alignment horizontal="center"/>
    </xf>
    <xf numFmtId="166" fontId="1" fillId="2" borderId="1" xfId="14" applyNumberFormat="1" applyFont="1" applyFill="1" applyBorder="1" applyAlignment="1">
      <alignment horizontal="right"/>
    </xf>
    <xf numFmtId="166" fontId="1" fillId="2" borderId="17" xfId="16" applyNumberFormat="1" applyFont="1" applyFill="1" applyBorder="1" applyAlignment="1">
      <alignment horizontal="right"/>
    </xf>
    <xf numFmtId="166" fontId="1" fillId="2" borderId="1" xfId="14" applyNumberFormat="1" applyFont="1" applyFill="1" applyBorder="1"/>
    <xf numFmtId="166" fontId="3" fillId="2" borderId="1" xfId="5" applyNumberFormat="1" applyFont="1" applyFill="1" applyBorder="1" applyAlignment="1">
      <alignment horizontal="right" wrapText="1"/>
    </xf>
    <xf numFmtId="0" fontId="1" fillId="2" borderId="3" xfId="0" applyNumberFormat="1" applyFont="1" applyFill="1" applyBorder="1" applyAlignment="1">
      <alignment wrapText="1"/>
    </xf>
    <xf numFmtId="4" fontId="1" fillId="2" borderId="3" xfId="0" applyNumberFormat="1" applyFont="1" applyFill="1" applyBorder="1" applyAlignment="1">
      <alignment wrapText="1"/>
    </xf>
    <xf numFmtId="0" fontId="3" fillId="2" borderId="1" xfId="0" applyNumberFormat="1" applyFont="1" applyFill="1" applyBorder="1" applyAlignment="1">
      <alignment wrapText="1"/>
    </xf>
    <xf numFmtId="49" fontId="3" fillId="2" borderId="16" xfId="5" applyNumberFormat="1" applyFont="1" applyFill="1" applyBorder="1" applyAlignment="1">
      <alignment wrapText="1"/>
    </xf>
    <xf numFmtId="49" fontId="3" fillId="2" borderId="6" xfId="0" applyNumberFormat="1" applyFont="1" applyFill="1" applyBorder="1" applyAlignment="1">
      <alignment horizontal="center"/>
    </xf>
    <xf numFmtId="49" fontId="3" fillId="2" borderId="7" xfId="0" applyNumberFormat="1" applyFont="1" applyFill="1" applyBorder="1" applyAlignment="1">
      <alignment horizontal="center"/>
    </xf>
    <xf numFmtId="49" fontId="3" fillId="2" borderId="8" xfId="0" applyNumberFormat="1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>
      <alignment horizontal="center"/>
    </xf>
    <xf numFmtId="49" fontId="1" fillId="2" borderId="8" xfId="0" applyNumberFormat="1" applyFont="1" applyFill="1" applyBorder="1" applyAlignment="1">
      <alignment horizontal="center"/>
    </xf>
    <xf numFmtId="171" fontId="27" fillId="2" borderId="0" xfId="7" applyNumberFormat="1" applyFont="1" applyFill="1"/>
    <xf numFmtId="166" fontId="1" fillId="2" borderId="31" xfId="16" applyNumberFormat="1" applyFont="1" applyFill="1" applyBorder="1" applyAlignment="1">
      <alignment horizontal="right"/>
    </xf>
    <xf numFmtId="166" fontId="1" fillId="2" borderId="13" xfId="16" applyNumberFormat="1" applyFont="1" applyFill="1" applyBorder="1" applyAlignment="1">
      <alignment horizontal="right"/>
    </xf>
    <xf numFmtId="166" fontId="1" fillId="2" borderId="38" xfId="16" applyNumberFormat="1" applyFont="1" applyFill="1" applyBorder="1" applyAlignment="1">
      <alignment horizontal="right"/>
    </xf>
    <xf numFmtId="166" fontId="1" fillId="2" borderId="1" xfId="0" applyNumberFormat="1" applyFont="1" applyFill="1" applyBorder="1" applyAlignment="1">
      <alignment horizontal="center" vertical="center" wrapText="1"/>
    </xf>
    <xf numFmtId="166" fontId="3" fillId="2" borderId="1" xfId="19" applyNumberFormat="1" applyFont="1" applyFill="1" applyBorder="1" applyAlignment="1">
      <alignment horizontal="center" wrapText="1"/>
    </xf>
    <xf numFmtId="168" fontId="1" fillId="2" borderId="1" xfId="0" applyNumberFormat="1" applyFont="1" applyFill="1" applyBorder="1" applyAlignment="1">
      <alignment vertical="center" wrapText="1"/>
    </xf>
    <xf numFmtId="169" fontId="3" fillId="2" borderId="1" xfId="0" applyNumberFormat="1" applyFont="1" applyFill="1" applyBorder="1" applyAlignment="1">
      <alignment horizontal="center" wrapText="1"/>
    </xf>
    <xf numFmtId="49" fontId="1" fillId="2" borderId="17" xfId="14" applyNumberFormat="1" applyFont="1" applyFill="1" applyBorder="1" applyAlignment="1">
      <alignment horizontal="center"/>
    </xf>
    <xf numFmtId="49" fontId="1" fillId="2" borderId="1" xfId="14" applyNumberFormat="1" applyFont="1" applyFill="1" applyBorder="1" applyAlignment="1">
      <alignment horizontal="center"/>
    </xf>
    <xf numFmtId="49" fontId="3" fillId="2" borderId="2" xfId="7" applyNumberFormat="1" applyFont="1" applyFill="1" applyBorder="1" applyAlignment="1">
      <alignment horizontal="center"/>
    </xf>
    <xf numFmtId="49" fontId="3" fillId="2" borderId="9" xfId="7" applyNumberFormat="1" applyFont="1" applyFill="1" applyBorder="1" applyAlignment="1">
      <alignment horizontal="center"/>
    </xf>
    <xf numFmtId="49" fontId="3" fillId="2" borderId="3" xfId="7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9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horizontal="justify" vertical="top" wrapText="1"/>
    </xf>
    <xf numFmtId="175" fontId="4" fillId="2" borderId="6" xfId="13" applyNumberFormat="1" applyFont="1" applyFill="1" applyBorder="1" applyAlignment="1">
      <alignment horizontal="right" vertical="center"/>
    </xf>
    <xf numFmtId="0" fontId="3" fillId="2" borderId="1" xfId="3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49" fontId="3" fillId="2" borderId="2" xfId="7" applyNumberFormat="1" applyFont="1" applyFill="1" applyBorder="1" applyAlignment="1">
      <alignment horizontal="center"/>
    </xf>
    <xf numFmtId="49" fontId="3" fillId="2" borderId="9" xfId="7" applyNumberFormat="1" applyFont="1" applyFill="1" applyBorder="1" applyAlignment="1">
      <alignment horizontal="center"/>
    </xf>
    <xf numFmtId="49" fontId="3" fillId="2" borderId="3" xfId="7" applyNumberFormat="1" applyFont="1" applyFill="1" applyBorder="1" applyAlignment="1">
      <alignment horizontal="center"/>
    </xf>
    <xf numFmtId="168" fontId="3" fillId="2" borderId="1" xfId="7" applyNumberFormat="1" applyFont="1" applyFill="1" applyBorder="1" applyAlignment="1">
      <alignment horizontal="center"/>
    </xf>
    <xf numFmtId="49" fontId="3" fillId="2" borderId="1" xfId="7" applyNumberFormat="1" applyFont="1" applyFill="1" applyBorder="1" applyAlignment="1">
      <alignment horizontal="center" vertical="center" wrapText="1"/>
    </xf>
    <xf numFmtId="49" fontId="3" fillId="2" borderId="1" xfId="7" applyNumberFormat="1" applyFont="1" applyFill="1" applyBorder="1" applyAlignment="1">
      <alignment horizontal="center" vertical="center"/>
    </xf>
    <xf numFmtId="1" fontId="2" fillId="2" borderId="0" xfId="2" applyNumberFormat="1" applyFont="1" applyFill="1" applyAlignment="1">
      <alignment horizontal="center" wrapText="1"/>
    </xf>
    <xf numFmtId="49" fontId="1" fillId="2" borderId="2" xfId="0" applyNumberFormat="1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0" fontId="2" fillId="2" borderId="0" xfId="3" applyFont="1" applyFill="1" applyAlignment="1">
      <alignment horizontal="center"/>
    </xf>
    <xf numFmtId="0" fontId="1" fillId="2" borderId="1" xfId="3" applyFont="1" applyFill="1" applyBorder="1" applyAlignment="1">
      <alignment horizontal="center" wrapText="1"/>
    </xf>
    <xf numFmtId="170" fontId="1" fillId="2" borderId="2" xfId="1" applyNumberFormat="1" applyFont="1" applyFill="1" applyBorder="1" applyAlignment="1">
      <alignment horizontal="center" vertical="center" wrapText="1"/>
    </xf>
    <xf numFmtId="170" fontId="1" fillId="2" borderId="9" xfId="1" applyNumberFormat="1" applyFont="1" applyFill="1" applyBorder="1" applyAlignment="1">
      <alignment horizontal="center" vertical="center" wrapText="1"/>
    </xf>
    <xf numFmtId="170" fontId="1" fillId="2" borderId="3" xfId="1" applyNumberFormat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1" fillId="2" borderId="0" xfId="1" applyFont="1" applyFill="1" applyBorder="1" applyAlignment="1">
      <alignment horizontal="left" wrapText="1"/>
    </xf>
    <xf numFmtId="0" fontId="1" fillId="2" borderId="5" xfId="1" applyFont="1" applyFill="1" applyBorder="1" applyAlignment="1">
      <alignment horizontal="center" vertical="center"/>
    </xf>
    <xf numFmtId="0" fontId="1" fillId="2" borderId="13" xfId="1" applyFont="1" applyFill="1" applyBorder="1" applyAlignment="1">
      <alignment horizontal="center" vertical="center"/>
    </xf>
    <xf numFmtId="0" fontId="1" fillId="2" borderId="5" xfId="1" applyFont="1" applyFill="1" applyBorder="1" applyAlignment="1">
      <alignment horizontal="center" vertical="center" wrapText="1"/>
    </xf>
    <xf numFmtId="0" fontId="1" fillId="2" borderId="13" xfId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166" fontId="3" fillId="2" borderId="2" xfId="1" applyNumberFormat="1" applyFont="1" applyFill="1" applyBorder="1" applyAlignment="1">
      <alignment horizontal="center"/>
    </xf>
    <xf numFmtId="166" fontId="3" fillId="2" borderId="3" xfId="1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0" fillId="0" borderId="0" xfId="0" applyAlignment="1"/>
    <xf numFmtId="168" fontId="3" fillId="2" borderId="2" xfId="3" applyNumberFormat="1" applyFont="1" applyFill="1" applyBorder="1" applyAlignment="1">
      <alignment horizontal="center" vertical="center"/>
    </xf>
    <xf numFmtId="168" fontId="3" fillId="2" borderId="9" xfId="3" applyNumberFormat="1" applyFont="1" applyFill="1" applyBorder="1" applyAlignment="1">
      <alignment horizontal="center" vertical="center"/>
    </xf>
    <xf numFmtId="168" fontId="3" fillId="2" borderId="3" xfId="3" applyNumberFormat="1" applyFont="1" applyFill="1" applyBorder="1" applyAlignment="1">
      <alignment horizontal="center" vertical="center"/>
    </xf>
    <xf numFmtId="0" fontId="4" fillId="2" borderId="0" xfId="3" applyFont="1" applyFill="1" applyAlignment="1">
      <alignment horizontal="center"/>
    </xf>
    <xf numFmtId="0" fontId="3" fillId="2" borderId="5" xfId="3" applyFont="1" applyFill="1" applyBorder="1" applyAlignment="1">
      <alignment horizontal="center" vertical="center" wrapText="1"/>
    </xf>
    <xf numFmtId="0" fontId="3" fillId="2" borderId="13" xfId="3" applyFont="1" applyFill="1" applyBorder="1" applyAlignment="1">
      <alignment horizontal="center" vertical="center" wrapText="1"/>
    </xf>
    <xf numFmtId="0" fontId="3" fillId="2" borderId="5" xfId="3" applyFont="1" applyFill="1" applyBorder="1" applyAlignment="1">
      <alignment horizontal="center" vertical="center"/>
    </xf>
    <xf numFmtId="0" fontId="3" fillId="2" borderId="13" xfId="3" applyFont="1" applyFill="1" applyBorder="1" applyAlignment="1">
      <alignment horizontal="center" vertical="center"/>
    </xf>
    <xf numFmtId="1" fontId="4" fillId="2" borderId="0" xfId="2" applyNumberFormat="1" applyFont="1" applyFill="1" applyAlignment="1">
      <alignment horizontal="center" wrapText="1"/>
    </xf>
    <xf numFmtId="49" fontId="3" fillId="2" borderId="6" xfId="7" applyNumberFormat="1" applyFont="1" applyFill="1" applyBorder="1" applyAlignment="1">
      <alignment horizontal="center" vertical="center"/>
    </xf>
    <xf numFmtId="49" fontId="3" fillId="2" borderId="7" xfId="7" applyNumberFormat="1" applyFont="1" applyFill="1" applyBorder="1" applyAlignment="1">
      <alignment horizontal="center" vertical="center"/>
    </xf>
    <xf numFmtId="49" fontId="3" fillId="2" borderId="8" xfId="7" applyNumberFormat="1" applyFont="1" applyFill="1" applyBorder="1" applyAlignment="1">
      <alignment horizontal="center" vertical="center"/>
    </xf>
    <xf numFmtId="49" fontId="3" fillId="2" borderId="2" xfId="7" applyNumberFormat="1" applyFont="1" applyFill="1" applyBorder="1" applyAlignment="1">
      <alignment horizontal="center"/>
    </xf>
    <xf numFmtId="49" fontId="3" fillId="2" borderId="9" xfId="7" applyNumberFormat="1" applyFont="1" applyFill="1" applyBorder="1" applyAlignment="1">
      <alignment horizontal="center"/>
    </xf>
    <xf numFmtId="49" fontId="3" fillId="2" borderId="3" xfId="7" applyNumberFormat="1" applyFont="1" applyFill="1" applyBorder="1" applyAlignment="1">
      <alignment horizontal="center"/>
    </xf>
    <xf numFmtId="168" fontId="3" fillId="2" borderId="1" xfId="7" applyNumberFormat="1" applyFont="1" applyFill="1" applyBorder="1" applyAlignment="1">
      <alignment horizontal="center"/>
    </xf>
    <xf numFmtId="49" fontId="3" fillId="2" borderId="1" xfId="7" applyNumberFormat="1" applyFont="1" applyFill="1" applyBorder="1" applyAlignment="1">
      <alignment horizontal="center" vertical="center" wrapText="1"/>
    </xf>
    <xf numFmtId="49" fontId="3" fillId="2" borderId="1" xfId="7" applyNumberFormat="1" applyFont="1" applyFill="1" applyBorder="1" applyAlignment="1">
      <alignment horizontal="center" vertical="center"/>
    </xf>
    <xf numFmtId="1" fontId="2" fillId="2" borderId="0" xfId="2" applyNumberFormat="1" applyFont="1" applyFill="1" applyAlignment="1">
      <alignment horizontal="center" wrapText="1"/>
    </xf>
    <xf numFmtId="49" fontId="1" fillId="2" borderId="2" xfId="0" applyNumberFormat="1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5" xfId="3" applyFont="1" applyFill="1" applyBorder="1" applyAlignment="1">
      <alignment horizontal="center" vertical="center"/>
    </xf>
    <xf numFmtId="0" fontId="1" fillId="2" borderId="13" xfId="3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14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29" fillId="2" borderId="5" xfId="0" applyNumberFormat="1" applyFont="1" applyFill="1" applyBorder="1" applyAlignment="1">
      <alignment horizontal="center" vertical="center" wrapText="1"/>
    </xf>
    <xf numFmtId="0" fontId="30" fillId="2" borderId="1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3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169" fontId="3" fillId="2" borderId="1" xfId="0" applyNumberFormat="1" applyFont="1" applyFill="1" applyBorder="1" applyAlignment="1">
      <alignment horizontal="center" vertical="center" wrapText="1"/>
    </xf>
    <xf numFmtId="169" fontId="15" fillId="2" borderId="1" xfId="0" applyNumberFormat="1" applyFont="1" applyFill="1" applyBorder="1" applyAlignment="1">
      <alignment horizontal="center" vertical="center" wrapText="1"/>
    </xf>
    <xf numFmtId="169" fontId="3" fillId="2" borderId="6" xfId="0" applyNumberFormat="1" applyFont="1" applyFill="1" applyBorder="1" applyAlignment="1">
      <alignment horizontal="center" vertical="center" wrapText="1"/>
    </xf>
    <xf numFmtId="169" fontId="3" fillId="2" borderId="8" xfId="0" applyNumberFormat="1" applyFont="1" applyFill="1" applyBorder="1" applyAlignment="1">
      <alignment horizontal="center" vertical="center" wrapText="1"/>
    </xf>
    <xf numFmtId="49" fontId="28" fillId="2" borderId="5" xfId="0" applyNumberFormat="1" applyFont="1" applyFill="1" applyBorder="1" applyAlignment="1">
      <alignment horizontal="center" vertical="center" wrapText="1"/>
    </xf>
    <xf numFmtId="0" fontId="31" fillId="2" borderId="13" xfId="0" applyFont="1" applyFill="1" applyBorder="1" applyAlignment="1">
      <alignment horizontal="center" vertical="center" wrapText="1"/>
    </xf>
    <xf numFmtId="0" fontId="2" fillId="2" borderId="0" xfId="3" applyFont="1" applyFill="1" applyAlignment="1">
      <alignment horizontal="center" wrapText="1"/>
    </xf>
    <xf numFmtId="0" fontId="3" fillId="2" borderId="2" xfId="3" applyFont="1" applyFill="1" applyBorder="1" applyAlignment="1">
      <alignment horizontal="center" vertical="center" wrapText="1"/>
    </xf>
    <xf numFmtId="0" fontId="3" fillId="2" borderId="9" xfId="3" applyFont="1" applyFill="1" applyBorder="1" applyAlignment="1">
      <alignment horizontal="center" vertical="center" wrapText="1"/>
    </xf>
    <xf numFmtId="0" fontId="3" fillId="2" borderId="3" xfId="3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2" fillId="2" borderId="0" xfId="3" applyFont="1" applyFill="1" applyAlignment="1">
      <alignment horizontal="center"/>
    </xf>
    <xf numFmtId="0" fontId="3" fillId="2" borderId="0" xfId="3" applyFont="1" applyFill="1" applyAlignment="1">
      <alignment horizontal="right" wrapText="1"/>
    </xf>
    <xf numFmtId="168" fontId="13" fillId="2" borderId="0" xfId="3" applyNumberFormat="1" applyFont="1" applyFill="1"/>
    <xf numFmtId="0" fontId="0" fillId="2" borderId="0" xfId="0" applyFill="1" applyAlignment="1"/>
    <xf numFmtId="0" fontId="3" fillId="2" borderId="0" xfId="3" applyFont="1" applyFill="1" applyAlignment="1">
      <alignment horizontal="right"/>
    </xf>
    <xf numFmtId="0" fontId="3" fillId="2" borderId="1" xfId="3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vertical="center"/>
    </xf>
    <xf numFmtId="0" fontId="32" fillId="2" borderId="0" xfId="0" applyFont="1" applyFill="1" applyAlignment="1">
      <alignment horizontal="justify" vertical="center"/>
    </xf>
    <xf numFmtId="0" fontId="1" fillId="2" borderId="0" xfId="3" applyFont="1" applyFill="1" applyBorder="1" applyAlignment="1">
      <alignment horizontal="left" vertical="top" wrapText="1"/>
    </xf>
    <xf numFmtId="49" fontId="1" fillId="2" borderId="0" xfId="3" applyNumberFormat="1" applyFont="1" applyFill="1" applyBorder="1" applyAlignment="1">
      <alignment horizontal="center" vertical="top"/>
    </xf>
    <xf numFmtId="0" fontId="1" fillId="2" borderId="0" xfId="7" applyFont="1" applyFill="1" applyBorder="1" applyAlignment="1">
      <alignment horizontal="left" wrapText="1"/>
    </xf>
    <xf numFmtId="0" fontId="0" fillId="2" borderId="0" xfId="0" applyFill="1" applyAlignment="1">
      <alignment wrapText="1"/>
    </xf>
    <xf numFmtId="0" fontId="1" fillId="2" borderId="0" xfId="7" applyFont="1" applyFill="1" applyBorder="1" applyAlignment="1">
      <alignment horizontal="left"/>
    </xf>
    <xf numFmtId="0" fontId="1" fillId="2" borderId="0" xfId="7" applyFont="1" applyFill="1" applyAlignment="1">
      <alignment horizontal="left"/>
    </xf>
  </cellXfs>
  <cellStyles count="20">
    <cellStyle name="Excel Built-in Normal" xfId="5"/>
    <cellStyle name="Excel Built-in Normal 1" xfId="11"/>
    <cellStyle name="Excel Built-in Normal 2" xfId="14"/>
    <cellStyle name="Excel Built-in Normal 3" xfId="16"/>
    <cellStyle name="Обычный" xfId="0" builtinId="0"/>
    <cellStyle name="Обычный 2" xfId="7"/>
    <cellStyle name="Обычный 2 2" xfId="8"/>
    <cellStyle name="Обычный 2 2 2" xfId="4"/>
    <cellStyle name="Обычный 2 2 3" xfId="18"/>
    <cellStyle name="Обычный 3" xfId="15"/>
    <cellStyle name="Обычный 3 2" xfId="17"/>
    <cellStyle name="Обычный_ведомственная  и прилож. на 2008 год без краевых-2" xfId="9"/>
    <cellStyle name="Обычный_ведомственная  и прилож. на 2008 год без краевых-2 2" xfId="12"/>
    <cellStyle name="Обычный_ведомственная  и прилож. на 2008 год без краевых-2 2 2" xfId="6"/>
    <cellStyle name="Обычный_Приложение № 2 к проекту бюджета" xfId="1"/>
    <cellStyle name="Обычный_расчеты к бю.джету1" xfId="2"/>
    <cellStyle name="Обычный_Функциональная структура расходов бюджета на 2005 год" xfId="3"/>
    <cellStyle name="Финансовый" xfId="19" builtinId="3"/>
    <cellStyle name="Финансовый [0]" xfId="13" builtinId="6"/>
    <cellStyle name="Финансовый 2" xfId="10"/>
  </cellStyles>
  <dxfs count="0"/>
  <tableStyles count="0" defaultTableStyle="TableStyleMedium2" defaultPivotStyle="PivotStyleMedium9"/>
  <colors>
    <mruColors>
      <color rgb="FFFFFF99"/>
      <color rgb="FFF6FED8"/>
      <color rgb="FFFFFFCC"/>
      <color rgb="FFCCFF99"/>
      <color rgb="FFFFCCCC"/>
      <color rgb="FFCCECFF"/>
      <color rgb="FF0000FF"/>
      <color rgb="FF8A0000"/>
      <color rgb="FF540000"/>
      <color rgb="FF74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H136"/>
  <sheetViews>
    <sheetView tabSelected="1" zoomScale="80" zoomScaleNormal="80" zoomScaleSheetLayoutView="50" workbookViewId="0">
      <selection activeCell="I36" sqref="I36"/>
    </sheetView>
  </sheetViews>
  <sheetFormatPr defaultColWidth="9.109375" defaultRowHeight="18" x14ac:dyDescent="0.35"/>
  <cols>
    <col min="1" max="1" width="29.5546875" style="244" customWidth="1"/>
    <col min="2" max="2" width="60.109375" style="345" customWidth="1"/>
    <col min="3" max="3" width="15.5546875" style="242" customWidth="1"/>
    <col min="4" max="4" width="16.6640625" style="244" customWidth="1"/>
    <col min="5" max="5" width="15.6640625" style="244" customWidth="1"/>
    <col min="6" max="16384" width="9.109375" style="244"/>
  </cols>
  <sheetData>
    <row r="1" spans="1:5" s="268" customFormat="1" x14ac:dyDescent="0.35">
      <c r="A1" s="50"/>
      <c r="B1" s="50"/>
      <c r="E1" s="201" t="s">
        <v>668</v>
      </c>
    </row>
    <row r="2" spans="1:5" s="268" customFormat="1" x14ac:dyDescent="0.35">
      <c r="A2" s="50"/>
      <c r="B2" s="50"/>
      <c r="E2" s="201" t="s">
        <v>795</v>
      </c>
    </row>
    <row r="4" spans="1:5" x14ac:dyDescent="0.35">
      <c r="E4" s="55" t="s">
        <v>668</v>
      </c>
    </row>
    <row r="5" spans="1:5" x14ac:dyDescent="0.35">
      <c r="E5" s="201" t="s">
        <v>733</v>
      </c>
    </row>
    <row r="7" spans="1:5" ht="11.25" customHeight="1" x14ac:dyDescent="0.35"/>
    <row r="8" spans="1:5" ht="36" customHeight="1" x14ac:dyDescent="0.35">
      <c r="A8" s="667" t="s">
        <v>650</v>
      </c>
      <c r="B8" s="667"/>
      <c r="C8" s="667"/>
      <c r="D8" s="667"/>
      <c r="E8" s="667"/>
    </row>
    <row r="10" spans="1:5" x14ac:dyDescent="0.35">
      <c r="E10" s="236" t="s">
        <v>24</v>
      </c>
    </row>
    <row r="11" spans="1:5" ht="20.399999999999999" customHeight="1" x14ac:dyDescent="0.35">
      <c r="A11" s="669" t="s">
        <v>14</v>
      </c>
      <c r="B11" s="671" t="s">
        <v>15</v>
      </c>
      <c r="C11" s="664" t="s">
        <v>16</v>
      </c>
      <c r="D11" s="665"/>
      <c r="E11" s="666"/>
    </row>
    <row r="12" spans="1:5" ht="20.399999999999999" customHeight="1" x14ac:dyDescent="0.35">
      <c r="A12" s="670"/>
      <c r="B12" s="672"/>
      <c r="C12" s="237" t="s">
        <v>470</v>
      </c>
      <c r="D12" s="237" t="s">
        <v>534</v>
      </c>
      <c r="E12" s="237" t="s">
        <v>654</v>
      </c>
    </row>
    <row r="13" spans="1:5" x14ac:dyDescent="0.35">
      <c r="A13" s="374">
        <v>1</v>
      </c>
      <c r="B13" s="375">
        <v>2</v>
      </c>
      <c r="C13" s="238">
        <v>3</v>
      </c>
      <c r="D13" s="376">
        <v>4</v>
      </c>
      <c r="E13" s="376">
        <v>5</v>
      </c>
    </row>
    <row r="14" spans="1:5" x14ac:dyDescent="0.35">
      <c r="A14" s="94" t="s">
        <v>136</v>
      </c>
      <c r="B14" s="95" t="s">
        <v>137</v>
      </c>
      <c r="C14" s="413">
        <f>SUM(C15:C33)-C24</f>
        <v>541499.69999999995</v>
      </c>
      <c r="D14" s="413">
        <f>SUM(D15:D33)-D24</f>
        <v>532066.19999999995</v>
      </c>
      <c r="E14" s="413">
        <f>SUM(E15:E33)-E24</f>
        <v>511865.29999999993</v>
      </c>
    </row>
    <row r="15" spans="1:5" x14ac:dyDescent="0.35">
      <c r="A15" s="54" t="s">
        <v>138</v>
      </c>
      <c r="B15" s="82" t="s">
        <v>139</v>
      </c>
      <c r="C15" s="414">
        <v>5720</v>
      </c>
      <c r="D15" s="415">
        <v>5948.8</v>
      </c>
      <c r="E15" s="416">
        <v>6186.8</v>
      </c>
    </row>
    <row r="16" spans="1:5" x14ac:dyDescent="0.35">
      <c r="A16" s="69" t="s">
        <v>140</v>
      </c>
      <c r="B16" s="96" t="s">
        <v>141</v>
      </c>
      <c r="C16" s="414">
        <f>327306.5+5059.6+5000</f>
        <v>337366.1</v>
      </c>
      <c r="D16" s="415">
        <v>306078.8</v>
      </c>
      <c r="E16" s="416">
        <v>306300.40000000002</v>
      </c>
    </row>
    <row r="17" spans="1:5" ht="173.25" customHeight="1" x14ac:dyDescent="0.35">
      <c r="A17" s="52" t="s">
        <v>142</v>
      </c>
      <c r="B17" s="98" t="s">
        <v>563</v>
      </c>
      <c r="C17" s="417">
        <v>6255.7</v>
      </c>
      <c r="D17" s="418">
        <v>6443.4</v>
      </c>
      <c r="E17" s="245">
        <v>6701.1</v>
      </c>
    </row>
    <row r="18" spans="1:5" ht="36" x14ac:dyDescent="0.35">
      <c r="A18" s="54" t="s">
        <v>313</v>
      </c>
      <c r="B18" s="83" t="s">
        <v>314</v>
      </c>
      <c r="C18" s="417">
        <f>107656.3+13000</f>
        <v>120656.3</v>
      </c>
      <c r="D18" s="418">
        <f>111962.6+26800</f>
        <v>138762.6</v>
      </c>
      <c r="E18" s="245">
        <v>116441.1</v>
      </c>
    </row>
    <row r="19" spans="1:5" ht="36" x14ac:dyDescent="0.35">
      <c r="A19" s="54" t="s">
        <v>143</v>
      </c>
      <c r="B19" s="83" t="s">
        <v>333</v>
      </c>
      <c r="C19" s="417">
        <v>450</v>
      </c>
      <c r="D19" s="418">
        <v>350</v>
      </c>
      <c r="E19" s="245">
        <v>200</v>
      </c>
    </row>
    <row r="20" spans="1:5" x14ac:dyDescent="0.35">
      <c r="A20" s="54" t="s">
        <v>144</v>
      </c>
      <c r="B20" s="96" t="s">
        <v>145</v>
      </c>
      <c r="C20" s="417">
        <v>198</v>
      </c>
      <c r="D20" s="418">
        <v>217.8</v>
      </c>
      <c r="E20" s="245">
        <v>239.6</v>
      </c>
    </row>
    <row r="21" spans="1:5" ht="36" x14ac:dyDescent="0.35">
      <c r="A21" s="54" t="s">
        <v>146</v>
      </c>
      <c r="B21" s="83" t="s">
        <v>147</v>
      </c>
      <c r="C21" s="417">
        <v>16905.5</v>
      </c>
      <c r="D21" s="418">
        <v>17243.599999999999</v>
      </c>
      <c r="E21" s="245">
        <v>17588.5</v>
      </c>
    </row>
    <row r="22" spans="1:5" x14ac:dyDescent="0.35">
      <c r="A22" s="54" t="s">
        <v>494</v>
      </c>
      <c r="B22" s="83" t="s">
        <v>495</v>
      </c>
      <c r="C22" s="417">
        <v>3737</v>
      </c>
      <c r="D22" s="418">
        <v>3774.4</v>
      </c>
      <c r="E22" s="245">
        <v>3812.1</v>
      </c>
    </row>
    <row r="23" spans="1:5" x14ac:dyDescent="0.35">
      <c r="A23" s="54" t="s">
        <v>148</v>
      </c>
      <c r="B23" s="96" t="s">
        <v>149</v>
      </c>
      <c r="C23" s="417">
        <v>9332.4</v>
      </c>
      <c r="D23" s="418">
        <v>9425.7000000000007</v>
      </c>
      <c r="E23" s="245">
        <v>9520</v>
      </c>
    </row>
    <row r="24" spans="1:5" ht="62.25" customHeight="1" x14ac:dyDescent="0.35">
      <c r="A24" s="54" t="s">
        <v>581</v>
      </c>
      <c r="B24" s="83" t="s">
        <v>582</v>
      </c>
      <c r="C24" s="417">
        <f>C25+C26+C27+C28+C29</f>
        <v>27142</v>
      </c>
      <c r="D24" s="418">
        <f>D25+D26+D27+D28+D29</f>
        <v>31192</v>
      </c>
      <c r="E24" s="418">
        <f>E25+E26+E27+E28+E29</f>
        <v>31901</v>
      </c>
    </row>
    <row r="25" spans="1:5" ht="78" customHeight="1" x14ac:dyDescent="0.35">
      <c r="A25" s="54" t="s">
        <v>150</v>
      </c>
      <c r="B25" s="97" t="s">
        <v>583</v>
      </c>
      <c r="C25" s="417">
        <v>287</v>
      </c>
      <c r="D25" s="418">
        <v>287</v>
      </c>
      <c r="E25" s="245">
        <v>287</v>
      </c>
    </row>
    <row r="26" spans="1:5" ht="99" customHeight="1" x14ac:dyDescent="0.35">
      <c r="A26" s="54" t="s">
        <v>151</v>
      </c>
      <c r="B26" s="83" t="s">
        <v>584</v>
      </c>
      <c r="C26" s="417">
        <v>25700</v>
      </c>
      <c r="D26" s="418">
        <v>29750</v>
      </c>
      <c r="E26" s="245">
        <v>30600</v>
      </c>
    </row>
    <row r="27" spans="1:5" ht="63" customHeight="1" x14ac:dyDescent="0.35">
      <c r="A27" s="54" t="s">
        <v>312</v>
      </c>
      <c r="B27" s="83" t="s">
        <v>585</v>
      </c>
      <c r="C27" s="417">
        <v>1021</v>
      </c>
      <c r="D27" s="418">
        <v>1021</v>
      </c>
      <c r="E27" s="245">
        <v>880</v>
      </c>
    </row>
    <row r="28" spans="1:5" ht="96.75" customHeight="1" x14ac:dyDescent="0.35">
      <c r="A28" s="54" t="s">
        <v>152</v>
      </c>
      <c r="B28" s="83" t="s">
        <v>586</v>
      </c>
      <c r="C28" s="417">
        <v>10</v>
      </c>
      <c r="D28" s="418">
        <v>10</v>
      </c>
      <c r="E28" s="245">
        <v>10</v>
      </c>
    </row>
    <row r="29" spans="1:5" ht="122.25" customHeight="1" x14ac:dyDescent="0.35">
      <c r="A29" s="54" t="s">
        <v>356</v>
      </c>
      <c r="B29" s="83" t="s">
        <v>587</v>
      </c>
      <c r="C29" s="417">
        <v>124</v>
      </c>
      <c r="D29" s="418">
        <v>124</v>
      </c>
      <c r="E29" s="245">
        <v>124</v>
      </c>
    </row>
    <row r="30" spans="1:5" ht="36" x14ac:dyDescent="0.35">
      <c r="A30" s="54" t="s">
        <v>153</v>
      </c>
      <c r="B30" s="83" t="s">
        <v>154</v>
      </c>
      <c r="C30" s="417">
        <v>555.5</v>
      </c>
      <c r="D30" s="418">
        <v>561.1</v>
      </c>
      <c r="E30" s="245">
        <v>566.70000000000005</v>
      </c>
    </row>
    <row r="31" spans="1:5" ht="36" x14ac:dyDescent="0.35">
      <c r="A31" s="54" t="s">
        <v>411</v>
      </c>
      <c r="B31" s="270" t="s">
        <v>465</v>
      </c>
      <c r="C31" s="417">
        <f>1995+194.1</f>
        <v>2189.1</v>
      </c>
      <c r="D31" s="418">
        <v>878</v>
      </c>
      <c r="E31" s="245">
        <v>878</v>
      </c>
    </row>
    <row r="32" spans="1:5" ht="36" x14ac:dyDescent="0.35">
      <c r="A32" s="54" t="s">
        <v>155</v>
      </c>
      <c r="B32" s="83" t="s">
        <v>156</v>
      </c>
      <c r="C32" s="417">
        <v>7870</v>
      </c>
      <c r="D32" s="418">
        <v>7900</v>
      </c>
      <c r="E32" s="245">
        <v>7940</v>
      </c>
    </row>
    <row r="33" spans="1:8" ht="22.5" customHeight="1" x14ac:dyDescent="0.35">
      <c r="A33" s="52" t="s">
        <v>157</v>
      </c>
      <c r="B33" s="83" t="s">
        <v>158</v>
      </c>
      <c r="C33" s="417">
        <v>3122.1</v>
      </c>
      <c r="D33" s="418">
        <v>3290</v>
      </c>
      <c r="E33" s="245">
        <v>3590</v>
      </c>
    </row>
    <row r="34" spans="1:8" x14ac:dyDescent="0.35">
      <c r="A34" s="120" t="s">
        <v>17</v>
      </c>
      <c r="B34" s="291" t="s">
        <v>315</v>
      </c>
      <c r="C34" s="239">
        <f>C35+C40-C41</f>
        <v>1341014.7967999999</v>
      </c>
      <c r="D34" s="239">
        <f t="shared" ref="D34:E34" si="0">D35+D40-D41</f>
        <v>1067266.4000000001</v>
      </c>
      <c r="E34" s="239">
        <f t="shared" si="0"/>
        <v>1086740.5</v>
      </c>
    </row>
    <row r="35" spans="1:8" ht="40.5" customHeight="1" x14ac:dyDescent="0.35">
      <c r="A35" s="110" t="s">
        <v>18</v>
      </c>
      <c r="B35" s="292" t="s">
        <v>19</v>
      </c>
      <c r="C35" s="416">
        <v>1336668.1000000001</v>
      </c>
      <c r="D35" s="416">
        <v>1067266.4000000001</v>
      </c>
      <c r="E35" s="416">
        <v>1086740.5</v>
      </c>
    </row>
    <row r="36" spans="1:8" s="294" customFormat="1" ht="36" x14ac:dyDescent="0.35">
      <c r="A36" s="110" t="s">
        <v>457</v>
      </c>
      <c r="B36" s="293" t="s">
        <v>352</v>
      </c>
      <c r="C36" s="416">
        <v>207780.1</v>
      </c>
      <c r="D36" s="416">
        <v>161147.20000000001</v>
      </c>
      <c r="E36" s="416">
        <v>179169.5</v>
      </c>
    </row>
    <row r="37" spans="1:8" s="294" customFormat="1" ht="36" x14ac:dyDescent="0.35">
      <c r="A37" s="18" t="s">
        <v>459</v>
      </c>
      <c r="B37" s="271" t="s">
        <v>310</v>
      </c>
      <c r="C37" s="416">
        <v>270345.60000000003</v>
      </c>
      <c r="D37" s="416">
        <v>77227.3</v>
      </c>
      <c r="E37" s="416">
        <v>70478.8</v>
      </c>
    </row>
    <row r="38" spans="1:8" ht="36" x14ac:dyDescent="0.35">
      <c r="A38" s="346" t="s">
        <v>461</v>
      </c>
      <c r="B38" s="293" t="s">
        <v>351</v>
      </c>
      <c r="C38" s="416">
        <v>852007.00000000012</v>
      </c>
      <c r="D38" s="416">
        <v>828891.90000000014</v>
      </c>
      <c r="E38" s="416">
        <v>837092.20000000007</v>
      </c>
    </row>
    <row r="39" spans="1:8" x14ac:dyDescent="0.35">
      <c r="A39" s="110" t="s">
        <v>469</v>
      </c>
      <c r="B39" s="292" t="s">
        <v>159</v>
      </c>
      <c r="C39" s="240">
        <v>6535.4</v>
      </c>
      <c r="D39" s="240">
        <v>0</v>
      </c>
      <c r="E39" s="240">
        <v>0</v>
      </c>
    </row>
    <row r="40" spans="1:8" ht="90" x14ac:dyDescent="0.35">
      <c r="A40" s="461" t="s">
        <v>782</v>
      </c>
      <c r="B40" s="648" t="s">
        <v>783</v>
      </c>
      <c r="C40" s="240">
        <v>4540.7968000000001</v>
      </c>
      <c r="D40" s="240">
        <v>0</v>
      </c>
      <c r="E40" s="240">
        <v>0</v>
      </c>
    </row>
    <row r="41" spans="1:8" ht="72" x14ac:dyDescent="0.35">
      <c r="A41" s="461" t="s">
        <v>743</v>
      </c>
      <c r="B41" s="292" t="s">
        <v>744</v>
      </c>
      <c r="C41" s="240">
        <v>194.1</v>
      </c>
      <c r="D41" s="240">
        <v>0</v>
      </c>
      <c r="E41" s="240">
        <v>0</v>
      </c>
    </row>
    <row r="42" spans="1:8" x14ac:dyDescent="0.35">
      <c r="A42" s="347"/>
      <c r="B42" s="291" t="s">
        <v>160</v>
      </c>
      <c r="C42" s="241">
        <f>C34+C14</f>
        <v>1882514.4967999998</v>
      </c>
      <c r="D42" s="241">
        <f>D34+D14</f>
        <v>1599332.6</v>
      </c>
      <c r="E42" s="241">
        <f t="shared" ref="E42" si="1">E34+E14</f>
        <v>1598605.7999999998</v>
      </c>
    </row>
    <row r="43" spans="1:8" x14ac:dyDescent="0.35">
      <c r="A43" s="442" t="s">
        <v>688</v>
      </c>
      <c r="B43" s="443"/>
      <c r="C43" s="444"/>
      <c r="D43" s="444"/>
      <c r="E43" s="444"/>
    </row>
    <row r="44" spans="1:8" ht="37.5" customHeight="1" x14ac:dyDescent="0.35">
      <c r="A44" s="668" t="s">
        <v>316</v>
      </c>
      <c r="B44" s="668"/>
      <c r="C44" s="668"/>
      <c r="D44" s="668"/>
      <c r="E44" s="668"/>
    </row>
    <row r="45" spans="1:8" x14ac:dyDescent="0.35">
      <c r="A45" s="348"/>
    </row>
    <row r="46" spans="1:8" x14ac:dyDescent="0.35">
      <c r="A46" s="348"/>
    </row>
    <row r="47" spans="1:8" s="105" customFormat="1" x14ac:dyDescent="0.35">
      <c r="A47" s="145" t="s">
        <v>388</v>
      </c>
      <c r="B47" s="107"/>
      <c r="C47" s="108"/>
      <c r="D47" s="108"/>
      <c r="E47" s="108"/>
      <c r="F47" s="59"/>
      <c r="G47" s="144"/>
      <c r="H47" s="191"/>
    </row>
    <row r="48" spans="1:8" s="105" customFormat="1" x14ac:dyDescent="0.35">
      <c r="A48" s="145" t="s">
        <v>389</v>
      </c>
      <c r="B48" s="107"/>
      <c r="C48" s="108"/>
      <c r="D48" s="108"/>
      <c r="E48" s="108"/>
      <c r="F48" s="59"/>
      <c r="G48" s="144"/>
      <c r="H48" s="191"/>
    </row>
    <row r="49" spans="1:6" s="105" customFormat="1" x14ac:dyDescent="0.35">
      <c r="A49" s="146" t="s">
        <v>390</v>
      </c>
      <c r="B49" s="107"/>
      <c r="D49" s="108"/>
      <c r="E49" s="147" t="s">
        <v>412</v>
      </c>
      <c r="F49" s="59"/>
    </row>
    <row r="51" spans="1:6" x14ac:dyDescent="0.35">
      <c r="B51" s="349"/>
      <c r="C51" s="243"/>
    </row>
    <row r="52" spans="1:6" x14ac:dyDescent="0.35">
      <c r="B52" s="349"/>
      <c r="C52" s="243"/>
    </row>
    <row r="59" spans="1:6" x14ac:dyDescent="0.35">
      <c r="B59" s="244"/>
      <c r="C59" s="244"/>
    </row>
    <row r="60" spans="1:6" x14ac:dyDescent="0.35">
      <c r="B60" s="244"/>
      <c r="C60" s="244"/>
    </row>
    <row r="61" spans="1:6" x14ac:dyDescent="0.35">
      <c r="B61" s="244"/>
      <c r="C61" s="244"/>
    </row>
    <row r="62" spans="1:6" x14ac:dyDescent="0.35">
      <c r="B62" s="244"/>
      <c r="C62" s="244"/>
    </row>
    <row r="63" spans="1:6" x14ac:dyDescent="0.35">
      <c r="B63" s="244"/>
      <c r="C63" s="244"/>
    </row>
    <row r="64" spans="1:6" x14ac:dyDescent="0.35">
      <c r="B64" s="244"/>
      <c r="C64" s="244"/>
    </row>
    <row r="65" spans="2:3" x14ac:dyDescent="0.35">
      <c r="B65" s="244"/>
      <c r="C65" s="244"/>
    </row>
    <row r="66" spans="2:3" x14ac:dyDescent="0.35">
      <c r="B66" s="244"/>
      <c r="C66" s="244"/>
    </row>
    <row r="67" spans="2:3" x14ac:dyDescent="0.35">
      <c r="B67" s="244"/>
      <c r="C67" s="244"/>
    </row>
    <row r="68" spans="2:3" x14ac:dyDescent="0.35">
      <c r="B68" s="244"/>
      <c r="C68" s="244"/>
    </row>
    <row r="69" spans="2:3" x14ac:dyDescent="0.35">
      <c r="B69" s="244"/>
      <c r="C69" s="244"/>
    </row>
    <row r="70" spans="2:3" x14ac:dyDescent="0.35">
      <c r="B70" s="244"/>
      <c r="C70" s="244"/>
    </row>
    <row r="71" spans="2:3" x14ac:dyDescent="0.35">
      <c r="B71" s="244"/>
      <c r="C71" s="244"/>
    </row>
    <row r="72" spans="2:3" x14ac:dyDescent="0.35">
      <c r="B72" s="244"/>
      <c r="C72" s="244"/>
    </row>
    <row r="73" spans="2:3" x14ac:dyDescent="0.35">
      <c r="B73" s="244"/>
      <c r="C73" s="244"/>
    </row>
    <row r="74" spans="2:3" x14ac:dyDescent="0.35">
      <c r="B74" s="244"/>
      <c r="C74" s="244"/>
    </row>
    <row r="75" spans="2:3" x14ac:dyDescent="0.35">
      <c r="B75" s="244"/>
      <c r="C75" s="244"/>
    </row>
    <row r="76" spans="2:3" x14ac:dyDescent="0.35">
      <c r="B76" s="244"/>
      <c r="C76" s="244"/>
    </row>
    <row r="77" spans="2:3" x14ac:dyDescent="0.35">
      <c r="B77" s="244"/>
      <c r="C77" s="244"/>
    </row>
    <row r="78" spans="2:3" x14ac:dyDescent="0.35">
      <c r="B78" s="244"/>
      <c r="C78" s="244"/>
    </row>
    <row r="79" spans="2:3" x14ac:dyDescent="0.35">
      <c r="B79" s="244"/>
      <c r="C79" s="244"/>
    </row>
    <row r="80" spans="2:3" x14ac:dyDescent="0.35">
      <c r="B80" s="244"/>
      <c r="C80" s="244"/>
    </row>
    <row r="81" spans="2:3" x14ac:dyDescent="0.35">
      <c r="B81" s="244"/>
      <c r="C81" s="244"/>
    </row>
    <row r="82" spans="2:3" x14ac:dyDescent="0.35">
      <c r="B82" s="244"/>
      <c r="C82" s="244"/>
    </row>
    <row r="83" spans="2:3" x14ac:dyDescent="0.35">
      <c r="B83" s="244"/>
      <c r="C83" s="244"/>
    </row>
    <row r="84" spans="2:3" x14ac:dyDescent="0.35">
      <c r="B84" s="244"/>
      <c r="C84" s="244"/>
    </row>
    <row r="85" spans="2:3" x14ac:dyDescent="0.35">
      <c r="B85" s="244"/>
      <c r="C85" s="244"/>
    </row>
    <row r="86" spans="2:3" x14ac:dyDescent="0.35">
      <c r="B86" s="244"/>
      <c r="C86" s="244"/>
    </row>
    <row r="87" spans="2:3" x14ac:dyDescent="0.35">
      <c r="B87" s="244"/>
      <c r="C87" s="244"/>
    </row>
    <row r="88" spans="2:3" x14ac:dyDescent="0.35">
      <c r="B88" s="244"/>
      <c r="C88" s="244"/>
    </row>
    <row r="89" spans="2:3" x14ac:dyDescent="0.35">
      <c r="B89" s="244"/>
      <c r="C89" s="244"/>
    </row>
    <row r="90" spans="2:3" x14ac:dyDescent="0.35">
      <c r="B90" s="244"/>
      <c r="C90" s="244"/>
    </row>
    <row r="91" spans="2:3" x14ac:dyDescent="0.35">
      <c r="B91" s="244"/>
      <c r="C91" s="244"/>
    </row>
    <row r="92" spans="2:3" x14ac:dyDescent="0.35">
      <c r="B92" s="244"/>
      <c r="C92" s="244"/>
    </row>
    <row r="93" spans="2:3" x14ac:dyDescent="0.35">
      <c r="B93" s="244"/>
      <c r="C93" s="244"/>
    </row>
    <row r="94" spans="2:3" x14ac:dyDescent="0.35">
      <c r="B94" s="244"/>
      <c r="C94" s="244"/>
    </row>
    <row r="95" spans="2:3" x14ac:dyDescent="0.35">
      <c r="B95" s="244"/>
      <c r="C95" s="244"/>
    </row>
    <row r="96" spans="2:3" x14ac:dyDescent="0.35">
      <c r="B96" s="244"/>
      <c r="C96" s="244"/>
    </row>
    <row r="97" spans="2:3" x14ac:dyDescent="0.35">
      <c r="B97" s="244"/>
      <c r="C97" s="244"/>
    </row>
    <row r="98" spans="2:3" x14ac:dyDescent="0.35">
      <c r="B98" s="244"/>
      <c r="C98" s="244"/>
    </row>
    <row r="99" spans="2:3" x14ac:dyDescent="0.35">
      <c r="B99" s="244"/>
      <c r="C99" s="244"/>
    </row>
    <row r="100" spans="2:3" x14ac:dyDescent="0.35">
      <c r="B100" s="244"/>
      <c r="C100" s="244"/>
    </row>
    <row r="101" spans="2:3" x14ac:dyDescent="0.35">
      <c r="B101" s="244"/>
      <c r="C101" s="244"/>
    </row>
    <row r="102" spans="2:3" x14ac:dyDescent="0.35">
      <c r="B102" s="244"/>
      <c r="C102" s="244"/>
    </row>
    <row r="103" spans="2:3" x14ac:dyDescent="0.35">
      <c r="B103" s="244"/>
      <c r="C103" s="244"/>
    </row>
    <row r="104" spans="2:3" x14ac:dyDescent="0.35">
      <c r="B104" s="244"/>
      <c r="C104" s="244"/>
    </row>
    <row r="105" spans="2:3" x14ac:dyDescent="0.35">
      <c r="B105" s="244"/>
      <c r="C105" s="244"/>
    </row>
    <row r="106" spans="2:3" x14ac:dyDescent="0.35">
      <c r="B106" s="244"/>
      <c r="C106" s="244"/>
    </row>
    <row r="107" spans="2:3" x14ac:dyDescent="0.35">
      <c r="B107" s="244"/>
      <c r="C107" s="244"/>
    </row>
    <row r="108" spans="2:3" x14ac:dyDescent="0.35">
      <c r="B108" s="244"/>
      <c r="C108" s="244"/>
    </row>
    <row r="109" spans="2:3" x14ac:dyDescent="0.35">
      <c r="B109" s="244"/>
      <c r="C109" s="244"/>
    </row>
    <row r="110" spans="2:3" x14ac:dyDescent="0.35">
      <c r="B110" s="244"/>
      <c r="C110" s="244"/>
    </row>
    <row r="111" spans="2:3" x14ac:dyDescent="0.35">
      <c r="B111" s="244"/>
      <c r="C111" s="244"/>
    </row>
    <row r="112" spans="2:3" x14ac:dyDescent="0.35">
      <c r="B112" s="244"/>
      <c r="C112" s="244"/>
    </row>
    <row r="113" spans="2:3" x14ac:dyDescent="0.35">
      <c r="B113" s="244"/>
      <c r="C113" s="244"/>
    </row>
    <row r="114" spans="2:3" x14ac:dyDescent="0.35">
      <c r="B114" s="244"/>
      <c r="C114" s="244"/>
    </row>
    <row r="115" spans="2:3" x14ac:dyDescent="0.35">
      <c r="B115" s="244"/>
      <c r="C115" s="244"/>
    </row>
    <row r="116" spans="2:3" x14ac:dyDescent="0.35">
      <c r="B116" s="244"/>
      <c r="C116" s="244"/>
    </row>
    <row r="117" spans="2:3" x14ac:dyDescent="0.35">
      <c r="B117" s="244"/>
      <c r="C117" s="244"/>
    </row>
    <row r="118" spans="2:3" x14ac:dyDescent="0.35">
      <c r="B118" s="244"/>
      <c r="C118" s="244"/>
    </row>
    <row r="119" spans="2:3" x14ac:dyDescent="0.35">
      <c r="B119" s="244"/>
      <c r="C119" s="244"/>
    </row>
    <row r="120" spans="2:3" x14ac:dyDescent="0.35">
      <c r="B120" s="244"/>
      <c r="C120" s="244"/>
    </row>
    <row r="121" spans="2:3" x14ac:dyDescent="0.35">
      <c r="B121" s="244"/>
      <c r="C121" s="244"/>
    </row>
    <row r="122" spans="2:3" x14ac:dyDescent="0.35">
      <c r="B122" s="244"/>
      <c r="C122" s="244"/>
    </row>
    <row r="123" spans="2:3" x14ac:dyDescent="0.35">
      <c r="B123" s="244"/>
      <c r="C123" s="244"/>
    </row>
    <row r="124" spans="2:3" x14ac:dyDescent="0.35">
      <c r="B124" s="244"/>
      <c r="C124" s="244"/>
    </row>
    <row r="125" spans="2:3" x14ac:dyDescent="0.35">
      <c r="B125" s="244"/>
      <c r="C125" s="244"/>
    </row>
    <row r="126" spans="2:3" x14ac:dyDescent="0.35">
      <c r="B126" s="244"/>
      <c r="C126" s="244"/>
    </row>
    <row r="127" spans="2:3" x14ac:dyDescent="0.35">
      <c r="B127" s="244"/>
      <c r="C127" s="244"/>
    </row>
    <row r="128" spans="2:3" x14ac:dyDescent="0.35">
      <c r="B128" s="244"/>
      <c r="C128" s="244"/>
    </row>
    <row r="129" spans="2:3" x14ac:dyDescent="0.35">
      <c r="B129" s="244"/>
      <c r="C129" s="244"/>
    </row>
    <row r="130" spans="2:3" x14ac:dyDescent="0.35">
      <c r="B130" s="244"/>
      <c r="C130" s="244"/>
    </row>
    <row r="131" spans="2:3" x14ac:dyDescent="0.35">
      <c r="B131" s="244"/>
      <c r="C131" s="244"/>
    </row>
    <row r="132" spans="2:3" x14ac:dyDescent="0.35">
      <c r="B132" s="244"/>
      <c r="C132" s="244"/>
    </row>
    <row r="133" spans="2:3" x14ac:dyDescent="0.35">
      <c r="B133" s="244"/>
      <c r="C133" s="244"/>
    </row>
    <row r="134" spans="2:3" x14ac:dyDescent="0.35">
      <c r="B134" s="244"/>
      <c r="C134" s="244"/>
    </row>
    <row r="135" spans="2:3" x14ac:dyDescent="0.35">
      <c r="B135" s="244"/>
      <c r="C135" s="244"/>
    </row>
    <row r="136" spans="2:3" x14ac:dyDescent="0.35">
      <c r="B136" s="244"/>
      <c r="C136" s="244"/>
    </row>
  </sheetData>
  <mergeCells count="5">
    <mergeCell ref="C11:E11"/>
    <mergeCell ref="A8:E8"/>
    <mergeCell ref="A44:E44"/>
    <mergeCell ref="A11:A12"/>
    <mergeCell ref="B11:B12"/>
  </mergeCells>
  <printOptions horizontalCentered="1"/>
  <pageMargins left="1.1811023622047245" right="0.39370078740157483" top="0.78740157480314965" bottom="0.78740157480314965" header="0.39370078740157483" footer="0.39370078740157483"/>
  <pageSetup paperSize="9" scale="62" fitToHeight="0" orientation="portrait" blackAndWhite="1" errors="blank" r:id="rId1"/>
  <headerFooter differentFirst="1">
    <oddHeader>&amp;C&amp;"Times New Roman,обычный"&amp;12&amp;P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H33"/>
  <sheetViews>
    <sheetView zoomScale="80" zoomScaleNormal="80" workbookViewId="0">
      <selection activeCell="I6" sqref="I6"/>
    </sheetView>
  </sheetViews>
  <sheetFormatPr defaultColWidth="9.109375" defaultRowHeight="18" x14ac:dyDescent="0.35"/>
  <cols>
    <col min="1" max="1" width="33.33203125" style="297" customWidth="1"/>
    <col min="2" max="2" width="66.44140625" style="297" customWidth="1"/>
    <col min="3" max="3" width="19.6640625" style="297" customWidth="1"/>
    <col min="4" max="4" width="15.5546875" style="2" customWidth="1"/>
    <col min="5" max="5" width="15.88671875" style="2" customWidth="1"/>
    <col min="6" max="6" width="19.88671875" style="2" customWidth="1"/>
    <col min="7" max="7" width="10.88671875" style="2" bestFit="1" customWidth="1"/>
    <col min="8" max="16384" width="9.109375" style="2"/>
  </cols>
  <sheetData>
    <row r="1" spans="1:6" x14ac:dyDescent="0.35">
      <c r="E1" s="201" t="s">
        <v>677</v>
      </c>
    </row>
    <row r="2" spans="1:6" x14ac:dyDescent="0.35">
      <c r="E2" s="201" t="s">
        <v>795</v>
      </c>
    </row>
    <row r="4" spans="1:6" s="49" customFormat="1" x14ac:dyDescent="0.35">
      <c r="E4" s="55" t="s">
        <v>678</v>
      </c>
    </row>
    <row r="5" spans="1:6" s="49" customFormat="1" x14ac:dyDescent="0.35">
      <c r="E5" s="55" t="s">
        <v>733</v>
      </c>
    </row>
    <row r="7" spans="1:6" ht="17.399999999999999" customHeight="1" x14ac:dyDescent="0.35"/>
    <row r="8" spans="1:6" s="6" customFormat="1" ht="18" customHeight="1" x14ac:dyDescent="0.35">
      <c r="A8" s="49"/>
      <c r="B8" s="49"/>
      <c r="C8" s="55"/>
    </row>
    <row r="9" spans="1:6" s="6" customFormat="1" ht="36" customHeight="1" x14ac:dyDescent="0.35">
      <c r="A9" s="727" t="s">
        <v>653</v>
      </c>
      <c r="B9" s="678"/>
      <c r="C9" s="678"/>
      <c r="D9" s="678"/>
      <c r="E9" s="678"/>
    </row>
    <row r="10" spans="1:6" x14ac:dyDescent="0.35">
      <c r="A10" s="678"/>
      <c r="B10" s="678"/>
      <c r="C10" s="678"/>
      <c r="D10" s="678"/>
      <c r="E10" s="678"/>
      <c r="F10" s="402"/>
    </row>
    <row r="11" spans="1:6" ht="37.5" customHeight="1" x14ac:dyDescent="0.35">
      <c r="C11" s="2"/>
      <c r="E11" s="322" t="s">
        <v>241</v>
      </c>
    </row>
    <row r="12" spans="1:6" ht="33" customHeight="1" x14ac:dyDescent="0.35">
      <c r="A12" s="683" t="s">
        <v>14</v>
      </c>
      <c r="B12" s="683" t="s">
        <v>570</v>
      </c>
      <c r="C12" s="728" t="s">
        <v>16</v>
      </c>
      <c r="D12" s="729"/>
      <c r="E12" s="730"/>
      <c r="F12" s="7"/>
    </row>
    <row r="13" spans="1:6" ht="32.25" customHeight="1" x14ac:dyDescent="0.35">
      <c r="A13" s="684"/>
      <c r="B13" s="684"/>
      <c r="C13" s="237" t="s">
        <v>470</v>
      </c>
      <c r="D13" s="237" t="s">
        <v>534</v>
      </c>
      <c r="E13" s="237" t="s">
        <v>654</v>
      </c>
      <c r="F13" s="7"/>
    </row>
    <row r="14" spans="1:6" ht="18" customHeight="1" x14ac:dyDescent="0.35">
      <c r="A14" s="304">
        <v>1</v>
      </c>
      <c r="B14" s="323">
        <v>2</v>
      </c>
      <c r="C14" s="429">
        <v>3</v>
      </c>
      <c r="D14" s="304">
        <v>4</v>
      </c>
      <c r="E14" s="324">
        <v>5</v>
      </c>
      <c r="F14" s="7"/>
    </row>
    <row r="15" spans="1:6" ht="37.200000000000003" customHeight="1" x14ac:dyDescent="0.35">
      <c r="A15" s="325" t="s">
        <v>242</v>
      </c>
      <c r="B15" s="425" t="s">
        <v>243</v>
      </c>
      <c r="C15" s="326">
        <f>C20+C16</f>
        <v>79690.609000000171</v>
      </c>
      <c r="D15" s="326">
        <f t="shared" ref="D15:E15" si="0">D20+D16</f>
        <v>0</v>
      </c>
      <c r="E15" s="433">
        <f t="shared" si="0"/>
        <v>0</v>
      </c>
      <c r="F15" s="4"/>
    </row>
    <row r="16" spans="1:6" ht="50.25" customHeight="1" x14ac:dyDescent="0.35">
      <c r="A16" s="327" t="s">
        <v>400</v>
      </c>
      <c r="B16" s="426" t="s">
        <v>567</v>
      </c>
      <c r="C16" s="430">
        <f>C17</f>
        <v>-10224</v>
      </c>
      <c r="D16" s="430">
        <f t="shared" ref="D16:E16" si="1">D17</f>
        <v>0</v>
      </c>
      <c r="E16" s="434">
        <f t="shared" si="1"/>
        <v>0</v>
      </c>
      <c r="F16" s="4"/>
    </row>
    <row r="17" spans="1:8" ht="57" customHeight="1" x14ac:dyDescent="0.35">
      <c r="A17" s="328" t="s">
        <v>401</v>
      </c>
      <c r="B17" s="427" t="s">
        <v>564</v>
      </c>
      <c r="C17" s="431">
        <f>-C18</f>
        <v>-10224</v>
      </c>
      <c r="D17" s="431">
        <v>0</v>
      </c>
      <c r="E17" s="435">
        <v>0</v>
      </c>
      <c r="F17" s="4"/>
    </row>
    <row r="18" spans="1:8" ht="63" customHeight="1" x14ac:dyDescent="0.35">
      <c r="A18" s="328" t="s">
        <v>402</v>
      </c>
      <c r="B18" s="427" t="s">
        <v>565</v>
      </c>
      <c r="C18" s="431">
        <f>C19</f>
        <v>10224</v>
      </c>
      <c r="D18" s="431">
        <v>0</v>
      </c>
      <c r="E18" s="435">
        <v>0</v>
      </c>
      <c r="F18" s="4"/>
    </row>
    <row r="19" spans="1:8" ht="75.75" customHeight="1" x14ac:dyDescent="0.35">
      <c r="A19" s="332" t="s">
        <v>403</v>
      </c>
      <c r="B19" s="428" t="s">
        <v>566</v>
      </c>
      <c r="C19" s="432">
        <v>10224</v>
      </c>
      <c r="D19" s="432">
        <v>0</v>
      </c>
      <c r="E19" s="436">
        <v>0</v>
      </c>
      <c r="F19" s="4"/>
    </row>
    <row r="20" spans="1:8" s="405" customFormat="1" ht="34.950000000000003" customHeight="1" x14ac:dyDescent="0.3">
      <c r="A20" s="327" t="s">
        <v>244</v>
      </c>
      <c r="B20" s="329" t="s">
        <v>245</v>
      </c>
      <c r="C20" s="649">
        <f>C25-C21</f>
        <v>89914.609000000171</v>
      </c>
      <c r="D20" s="326">
        <f>D25-D21</f>
        <v>0</v>
      </c>
      <c r="E20" s="433">
        <f t="shared" ref="E20" si="2">E25-E21</f>
        <v>0</v>
      </c>
      <c r="F20" s="403"/>
      <c r="G20" s="404"/>
    </row>
    <row r="21" spans="1:8" x14ac:dyDescent="0.35">
      <c r="A21" s="328" t="s">
        <v>246</v>
      </c>
      <c r="B21" s="330" t="s">
        <v>247</v>
      </c>
      <c r="C21" s="410">
        <f>C22</f>
        <v>1882708.5967999999</v>
      </c>
      <c r="D21" s="422">
        <f t="shared" ref="D21:E22" si="3">D22</f>
        <v>1599332.6</v>
      </c>
      <c r="E21" s="437">
        <f t="shared" si="3"/>
        <v>1598605.7999999998</v>
      </c>
    </row>
    <row r="22" spans="1:8" x14ac:dyDescent="0.35">
      <c r="A22" s="328" t="s">
        <v>248</v>
      </c>
      <c r="B22" s="330" t="s">
        <v>249</v>
      </c>
      <c r="C22" s="410">
        <f>C23</f>
        <v>1882708.5967999999</v>
      </c>
      <c r="D22" s="422">
        <f t="shared" si="3"/>
        <v>1599332.6</v>
      </c>
      <c r="E22" s="437">
        <f t="shared" si="3"/>
        <v>1598605.7999999998</v>
      </c>
    </row>
    <row r="23" spans="1:8" ht="20.25" customHeight="1" x14ac:dyDescent="0.35">
      <c r="A23" s="328" t="s">
        <v>330</v>
      </c>
      <c r="B23" s="331" t="s">
        <v>250</v>
      </c>
      <c r="C23" s="411">
        <f>C24</f>
        <v>1882708.5967999999</v>
      </c>
      <c r="D23" s="423">
        <f t="shared" ref="D23:E23" si="4">D24</f>
        <v>1599332.6</v>
      </c>
      <c r="E23" s="438">
        <f t="shared" si="4"/>
        <v>1598605.7999999998</v>
      </c>
    </row>
    <row r="24" spans="1:8" ht="37.5" customHeight="1" x14ac:dyDescent="0.35">
      <c r="A24" s="328" t="s">
        <v>251</v>
      </c>
      <c r="B24" s="331" t="s">
        <v>4</v>
      </c>
      <c r="C24" s="411">
        <f>'прил. 1 (поступл.22-24)'!C42+'прил. 1 (поступл.22-24)'!C41</f>
        <v>1882708.5967999999</v>
      </c>
      <c r="D24" s="421">
        <f>'прил. 1 (поступл.22-24)'!D42</f>
        <v>1599332.6</v>
      </c>
      <c r="E24" s="439">
        <f>'прил. 1 (поступл.22-24)'!E42</f>
        <v>1598605.7999999998</v>
      </c>
    </row>
    <row r="25" spans="1:8" x14ac:dyDescent="0.35">
      <c r="A25" s="328" t="s">
        <v>252</v>
      </c>
      <c r="B25" s="331" t="s">
        <v>253</v>
      </c>
      <c r="C25" s="411">
        <f>C26</f>
        <v>1972623.2058000001</v>
      </c>
      <c r="D25" s="423">
        <f t="shared" ref="D25:E27" si="5">D26</f>
        <v>1599332.6</v>
      </c>
      <c r="E25" s="438">
        <f t="shared" si="5"/>
        <v>1598605.7999999998</v>
      </c>
    </row>
    <row r="26" spans="1:8" x14ac:dyDescent="0.35">
      <c r="A26" s="328" t="s">
        <v>254</v>
      </c>
      <c r="B26" s="331" t="s">
        <v>255</v>
      </c>
      <c r="C26" s="411">
        <f>C27</f>
        <v>1972623.2058000001</v>
      </c>
      <c r="D26" s="423">
        <f t="shared" si="5"/>
        <v>1599332.6</v>
      </c>
      <c r="E26" s="438">
        <f t="shared" si="5"/>
        <v>1598605.7999999998</v>
      </c>
    </row>
    <row r="27" spans="1:8" ht="22.2" customHeight="1" x14ac:dyDescent="0.35">
      <c r="A27" s="328" t="s">
        <v>256</v>
      </c>
      <c r="B27" s="331" t="s">
        <v>257</v>
      </c>
      <c r="C27" s="411">
        <f>C28</f>
        <v>1972623.2058000001</v>
      </c>
      <c r="D27" s="423">
        <f t="shared" si="5"/>
        <v>1599332.6</v>
      </c>
      <c r="E27" s="438">
        <f t="shared" si="5"/>
        <v>1598605.7999999998</v>
      </c>
    </row>
    <row r="28" spans="1:8" ht="36" x14ac:dyDescent="0.35">
      <c r="A28" s="332" t="s">
        <v>258</v>
      </c>
      <c r="B28" s="333" t="s">
        <v>5</v>
      </c>
      <c r="C28" s="412">
        <f>'прил9 (ведом 22)'!M15+C19+'прил. 1 (поступл.22-24)'!C41</f>
        <v>1972623.2058000001</v>
      </c>
      <c r="D28" s="424">
        <f>'прил10 (ведом 23-24)'!M16+D19</f>
        <v>1599332.6</v>
      </c>
      <c r="E28" s="440">
        <f>'прил10 (ведом 23-24)'!N16+E19</f>
        <v>1598605.7999999998</v>
      </c>
    </row>
    <row r="29" spans="1:8" x14ac:dyDescent="0.35">
      <c r="A29" s="334"/>
      <c r="B29" s="335"/>
      <c r="C29" s="336"/>
    </row>
    <row r="30" spans="1:8" x14ac:dyDescent="0.35">
      <c r="A30" s="334"/>
      <c r="B30" s="335"/>
      <c r="C30" s="336"/>
    </row>
    <row r="31" spans="1:8" s="1" customFormat="1" x14ac:dyDescent="0.35">
      <c r="A31" s="145" t="s">
        <v>388</v>
      </c>
      <c r="B31" s="406"/>
      <c r="C31" s="127"/>
      <c r="D31" s="407"/>
      <c r="E31" s="407"/>
      <c r="F31" s="408"/>
      <c r="G31" s="3"/>
      <c r="H31" s="409"/>
    </row>
    <row r="32" spans="1:8" s="1" customFormat="1" x14ac:dyDescent="0.35">
      <c r="A32" s="145" t="s">
        <v>389</v>
      </c>
      <c r="B32" s="406"/>
      <c r="C32" s="127"/>
      <c r="D32" s="407"/>
      <c r="E32" s="407"/>
      <c r="F32" s="408"/>
      <c r="G32" s="3"/>
      <c r="H32" s="409"/>
    </row>
    <row r="33" spans="1:6" s="1" customFormat="1" x14ac:dyDescent="0.35">
      <c r="A33" s="146" t="s">
        <v>390</v>
      </c>
      <c r="B33" s="406"/>
      <c r="C33" s="147"/>
      <c r="D33" s="407"/>
      <c r="E33" s="147" t="s">
        <v>412</v>
      </c>
      <c r="F33" s="408"/>
    </row>
  </sheetData>
  <mergeCells count="4">
    <mergeCell ref="A9:E10"/>
    <mergeCell ref="C12:E12"/>
    <mergeCell ref="A12:A13"/>
    <mergeCell ref="B12:B13"/>
  </mergeCells>
  <printOptions horizontalCentered="1"/>
  <pageMargins left="1.1811023622047245" right="0.39370078740157483" top="0.78740157480314965" bottom="0.78740157480314965" header="0" footer="0"/>
  <pageSetup paperSize="9" scale="56" orientation="portrait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H23"/>
  <sheetViews>
    <sheetView zoomScaleNormal="100" workbookViewId="0">
      <selection activeCell="G14" sqref="G14"/>
    </sheetView>
  </sheetViews>
  <sheetFormatPr defaultColWidth="8.88671875" defaultRowHeight="18" x14ac:dyDescent="0.35"/>
  <cols>
    <col min="1" max="1" width="65" style="49" customWidth="1"/>
    <col min="2" max="2" width="14.6640625" style="49" customWidth="1"/>
    <col min="3" max="3" width="13.33203125" style="49" customWidth="1"/>
    <col min="4" max="4" width="11" style="49" customWidth="1"/>
    <col min="5" max="16384" width="8.88671875" style="49"/>
  </cols>
  <sheetData>
    <row r="1" spans="1:4" x14ac:dyDescent="0.35">
      <c r="D1" s="201" t="s">
        <v>678</v>
      </c>
    </row>
    <row r="2" spans="1:4" x14ac:dyDescent="0.35">
      <c r="D2" s="201" t="s">
        <v>795</v>
      </c>
    </row>
    <row r="4" spans="1:4" x14ac:dyDescent="0.35">
      <c r="D4" s="55" t="s">
        <v>679</v>
      </c>
    </row>
    <row r="5" spans="1:4" x14ac:dyDescent="0.35">
      <c r="D5" s="55" t="s">
        <v>733</v>
      </c>
    </row>
    <row r="10" spans="1:4" ht="57" customHeight="1" x14ac:dyDescent="0.35">
      <c r="A10" s="734" t="s">
        <v>663</v>
      </c>
      <c r="B10" s="734"/>
      <c r="C10" s="734"/>
      <c r="D10" s="734"/>
    </row>
    <row r="11" spans="1:4" ht="16.95" customHeight="1" x14ac:dyDescent="0.35">
      <c r="A11" s="351"/>
      <c r="B11" s="351"/>
      <c r="C11" s="352"/>
    </row>
    <row r="12" spans="1:4" x14ac:dyDescent="0.35">
      <c r="D12" s="55" t="s">
        <v>24</v>
      </c>
    </row>
    <row r="13" spans="1:4" ht="19.95" customHeight="1" x14ac:dyDescent="0.35">
      <c r="A13" s="676" t="s">
        <v>259</v>
      </c>
      <c r="B13" s="731" t="s">
        <v>16</v>
      </c>
      <c r="C13" s="732"/>
      <c r="D13" s="733"/>
    </row>
    <row r="14" spans="1:4" ht="31.95" customHeight="1" x14ac:dyDescent="0.35">
      <c r="A14" s="677"/>
      <c r="B14" s="5" t="s">
        <v>470</v>
      </c>
      <c r="C14" s="5" t="s">
        <v>534</v>
      </c>
      <c r="D14" s="5" t="s">
        <v>654</v>
      </c>
    </row>
    <row r="15" spans="1:4" x14ac:dyDescent="0.35">
      <c r="A15" s="69">
        <v>1</v>
      </c>
      <c r="B15" s="69">
        <v>2</v>
      </c>
      <c r="C15" s="69">
        <v>3</v>
      </c>
      <c r="D15" s="69">
        <v>4</v>
      </c>
    </row>
    <row r="16" spans="1:4" ht="22.95" customHeight="1" x14ac:dyDescent="0.35">
      <c r="A16" s="353" t="s">
        <v>317</v>
      </c>
      <c r="B16" s="354">
        <f>SUM(B17:B18)</f>
        <v>39998.410000000003</v>
      </c>
      <c r="C16" s="354">
        <f>SUM(C17:C18)</f>
        <v>7000</v>
      </c>
      <c r="D16" s="354">
        <f t="shared" ref="D16" si="0">SUM(D17:D18)</f>
        <v>7000</v>
      </c>
    </row>
    <row r="17" spans="1:8" ht="36" x14ac:dyDescent="0.35">
      <c r="A17" s="270" t="s">
        <v>260</v>
      </c>
      <c r="B17" s="338">
        <f>'прил9 (ведом 22)'!M286</f>
        <v>7000</v>
      </c>
      <c r="C17" s="338">
        <f>'прил10 (ведом 23-24)'!M197</f>
        <v>7000</v>
      </c>
      <c r="D17" s="338">
        <f>'прил10 (ведом 23-24)'!N197</f>
        <v>7000</v>
      </c>
    </row>
    <row r="18" spans="1:8" ht="36" x14ac:dyDescent="0.35">
      <c r="A18" s="355" t="s">
        <v>499</v>
      </c>
      <c r="B18" s="338">
        <f>'прил9 (ведом 22)'!M101+'прил9 (ведом 22)'!M103+'прил9 (ведом 22)'!M111+'прил9 (ведом 22)'!M225+'прил9 (ведом 22)'!M228+'прил9 (ведом 22)'!M231+'прил9 (ведом 22)'!M234+'прил9 (ведом 22)'!M237+'прил9 (ведом 22)'!M240+'прил9 (ведом 22)'!M243+'прил9 (ведом 22)'!M246+'прил9 (ведом 22)'!M249+'прил9 (ведом 22)'!M292</f>
        <v>32998.410000000003</v>
      </c>
      <c r="C18" s="338">
        <v>0</v>
      </c>
      <c r="D18" s="338">
        <v>0</v>
      </c>
    </row>
    <row r="21" spans="1:8" s="105" customFormat="1" x14ac:dyDescent="0.35">
      <c r="A21" s="145" t="s">
        <v>388</v>
      </c>
      <c r="B21" s="107"/>
      <c r="C21" s="108"/>
      <c r="D21" s="108"/>
      <c r="E21" s="108"/>
      <c r="F21" s="59"/>
      <c r="G21" s="144"/>
      <c r="H21" s="191"/>
    </row>
    <row r="22" spans="1:8" s="105" customFormat="1" x14ac:dyDescent="0.35">
      <c r="A22" s="145" t="s">
        <v>389</v>
      </c>
      <c r="B22" s="107"/>
      <c r="C22" s="108"/>
      <c r="D22" s="108"/>
      <c r="E22" s="108"/>
      <c r="F22" s="59"/>
      <c r="G22" s="144"/>
      <c r="H22" s="191"/>
    </row>
    <row r="23" spans="1:8" s="105" customFormat="1" x14ac:dyDescent="0.35">
      <c r="A23" s="146" t="s">
        <v>390</v>
      </c>
      <c r="D23" s="147" t="s">
        <v>412</v>
      </c>
      <c r="E23" s="108"/>
      <c r="F23" s="59"/>
    </row>
  </sheetData>
  <mergeCells count="3">
    <mergeCell ref="B13:D13"/>
    <mergeCell ref="A13:A14"/>
    <mergeCell ref="A10:D10"/>
  </mergeCells>
  <printOptions horizontalCentered="1"/>
  <pageMargins left="1.1811023622047245" right="0.39370078740157483" top="0.78740157480314965" bottom="0.78740157480314965" header="0.31496062992125984" footer="0.31496062992125984"/>
  <pageSetup paperSize="9" scale="82" fitToHeight="0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M411"/>
  <sheetViews>
    <sheetView zoomScale="80" zoomScaleNormal="80" zoomScaleSheetLayoutView="80" workbookViewId="0">
      <selection activeCell="F39" sqref="F39"/>
    </sheetView>
  </sheetViews>
  <sheetFormatPr defaultColWidth="8.88671875" defaultRowHeight="18" x14ac:dyDescent="0.35"/>
  <cols>
    <col min="1" max="1" width="28.109375" style="80" customWidth="1"/>
    <col min="2" max="2" width="72.6640625" style="80" customWidth="1"/>
    <col min="3" max="3" width="15" style="79" customWidth="1"/>
    <col min="4" max="4" width="11.33203125" style="65" hidden="1" customWidth="1"/>
    <col min="5" max="16384" width="8.88671875" style="49"/>
  </cols>
  <sheetData>
    <row r="1" spans="1:4" s="244" customFormat="1" x14ac:dyDescent="0.35">
      <c r="B1" s="345"/>
      <c r="C1" s="55" t="s">
        <v>669</v>
      </c>
    </row>
    <row r="2" spans="1:4" s="244" customFormat="1" x14ac:dyDescent="0.35">
      <c r="B2" s="345"/>
      <c r="C2" s="201" t="s">
        <v>796</v>
      </c>
    </row>
    <row r="5" spans="1:4" x14ac:dyDescent="0.35">
      <c r="C5" s="55" t="s">
        <v>669</v>
      </c>
    </row>
    <row r="6" spans="1:4" x14ac:dyDescent="0.35">
      <c r="C6" s="201" t="s">
        <v>733</v>
      </c>
    </row>
    <row r="8" spans="1:4" ht="25.95" customHeight="1" x14ac:dyDescent="0.35"/>
    <row r="9" spans="1:4" ht="15.75" customHeight="1" x14ac:dyDescent="0.35"/>
    <row r="10" spans="1:4" ht="22.2" customHeight="1" x14ac:dyDescent="0.35">
      <c r="A10" s="673" t="s">
        <v>656</v>
      </c>
      <c r="B10" s="673"/>
      <c r="C10" s="673"/>
    </row>
    <row r="11" spans="1:4" x14ac:dyDescent="0.35">
      <c r="A11" s="81"/>
      <c r="B11" s="81"/>
      <c r="C11" s="66"/>
    </row>
    <row r="12" spans="1:4" x14ac:dyDescent="0.35">
      <c r="C12" s="67" t="s">
        <v>24</v>
      </c>
    </row>
    <row r="13" spans="1:4" x14ac:dyDescent="0.35">
      <c r="A13" s="54" t="s">
        <v>14</v>
      </c>
      <c r="B13" s="54" t="s">
        <v>15</v>
      </c>
      <c r="C13" s="68" t="s">
        <v>16</v>
      </c>
    </row>
    <row r="14" spans="1:4" x14ac:dyDescent="0.35">
      <c r="A14" s="54">
        <v>1</v>
      </c>
      <c r="B14" s="54">
        <v>2</v>
      </c>
      <c r="C14" s="70">
        <v>3</v>
      </c>
    </row>
    <row r="15" spans="1:4" ht="23.4" customHeight="1" x14ac:dyDescent="0.35">
      <c r="A15" s="56" t="s">
        <v>17</v>
      </c>
      <c r="B15" s="71" t="s">
        <v>315</v>
      </c>
      <c r="C15" s="72">
        <f>C16</f>
        <v>1334382.7000000002</v>
      </c>
      <c r="D15" s="247"/>
    </row>
    <row r="16" spans="1:4" ht="38.4" customHeight="1" x14ac:dyDescent="0.35">
      <c r="A16" s="54" t="s">
        <v>18</v>
      </c>
      <c r="B16" s="82" t="s">
        <v>19</v>
      </c>
      <c r="C16" s="87">
        <f>C17+C44+C20+C71</f>
        <v>1334382.7000000002</v>
      </c>
      <c r="D16" s="247"/>
    </row>
    <row r="17" spans="1:4" ht="37.950000000000003" customHeight="1" x14ac:dyDescent="0.35">
      <c r="A17" s="54" t="s">
        <v>457</v>
      </c>
      <c r="B17" s="82" t="s">
        <v>349</v>
      </c>
      <c r="C17" s="87">
        <f>C18</f>
        <v>207780.1</v>
      </c>
      <c r="D17" s="247"/>
    </row>
    <row r="18" spans="1:4" ht="21.6" customHeight="1" x14ac:dyDescent="0.35">
      <c r="A18" s="54" t="s">
        <v>458</v>
      </c>
      <c r="B18" s="82" t="s">
        <v>20</v>
      </c>
      <c r="C18" s="87">
        <f>C19</f>
        <v>207780.1</v>
      </c>
      <c r="D18" s="247"/>
    </row>
    <row r="19" spans="1:4" ht="59.4" customHeight="1" x14ac:dyDescent="0.35">
      <c r="A19" s="54" t="s">
        <v>455</v>
      </c>
      <c r="B19" s="82" t="s">
        <v>496</v>
      </c>
      <c r="C19" s="87">
        <v>207780.1</v>
      </c>
      <c r="D19" s="247"/>
    </row>
    <row r="20" spans="1:4" ht="39.6" customHeight="1" x14ac:dyDescent="0.35">
      <c r="A20" s="54" t="s">
        <v>459</v>
      </c>
      <c r="B20" s="83" t="s">
        <v>378</v>
      </c>
      <c r="C20" s="87">
        <f>C21+C25+C27+C34+C31+C29</f>
        <v>270345.60000000003</v>
      </c>
      <c r="D20" s="247"/>
    </row>
    <row r="21" spans="1:4" ht="48" customHeight="1" x14ac:dyDescent="0.35">
      <c r="A21" s="54" t="s">
        <v>484</v>
      </c>
      <c r="B21" s="83" t="s">
        <v>485</v>
      </c>
      <c r="C21" s="87">
        <f>C22</f>
        <v>135291.1</v>
      </c>
      <c r="D21" s="247"/>
    </row>
    <row r="22" spans="1:4" ht="56.4" customHeight="1" x14ac:dyDescent="0.35">
      <c r="A22" s="54" t="s">
        <v>482</v>
      </c>
      <c r="B22" s="83" t="s">
        <v>483</v>
      </c>
      <c r="C22" s="87">
        <f>C23+C24</f>
        <v>135291.1</v>
      </c>
      <c r="D22" s="247"/>
    </row>
    <row r="23" spans="1:4" ht="90" x14ac:dyDescent="0.35">
      <c r="A23" s="54"/>
      <c r="B23" s="296" t="s">
        <v>702</v>
      </c>
      <c r="C23" s="89">
        <v>123554</v>
      </c>
      <c r="D23" s="247">
        <v>921</v>
      </c>
    </row>
    <row r="24" spans="1:4" ht="54" x14ac:dyDescent="0.35">
      <c r="A24" s="53"/>
      <c r="B24" s="295" t="s">
        <v>539</v>
      </c>
      <c r="C24" s="88">
        <v>11737.1</v>
      </c>
      <c r="D24" s="247">
        <v>921</v>
      </c>
    </row>
    <row r="25" spans="1:4" ht="144" x14ac:dyDescent="0.35">
      <c r="A25" s="54" t="s">
        <v>546</v>
      </c>
      <c r="B25" s="82" t="s">
        <v>545</v>
      </c>
      <c r="C25" s="88">
        <f>C26</f>
        <v>21532.7</v>
      </c>
      <c r="D25" s="247">
        <v>902</v>
      </c>
    </row>
    <row r="26" spans="1:4" ht="144" x14ac:dyDescent="0.35">
      <c r="A26" s="54" t="s">
        <v>548</v>
      </c>
      <c r="B26" s="82" t="s">
        <v>547</v>
      </c>
      <c r="C26" s="88">
        <v>21532.7</v>
      </c>
      <c r="D26" s="247"/>
    </row>
    <row r="27" spans="1:4" ht="108" x14ac:dyDescent="0.35">
      <c r="A27" s="54" t="s">
        <v>681</v>
      </c>
      <c r="B27" s="82" t="s">
        <v>682</v>
      </c>
      <c r="C27" s="88">
        <f>C28</f>
        <v>15225.8</v>
      </c>
      <c r="D27" s="247">
        <v>902</v>
      </c>
    </row>
    <row r="28" spans="1:4" ht="108" x14ac:dyDescent="0.35">
      <c r="A28" s="54" t="s">
        <v>549</v>
      </c>
      <c r="B28" s="82" t="s">
        <v>550</v>
      </c>
      <c r="C28" s="88">
        <v>15225.8</v>
      </c>
      <c r="D28" s="247"/>
    </row>
    <row r="29" spans="1:4" s="65" customFormat="1" ht="80.25" customHeight="1" x14ac:dyDescent="0.35">
      <c r="A29" s="53" t="s">
        <v>531</v>
      </c>
      <c r="B29" s="83" t="s">
        <v>536</v>
      </c>
      <c r="C29" s="87">
        <f>C30</f>
        <v>57283.199999999997</v>
      </c>
      <c r="D29" s="247"/>
    </row>
    <row r="30" spans="1:4" s="65" customFormat="1" ht="79.5" customHeight="1" x14ac:dyDescent="0.35">
      <c r="A30" s="53" t="s">
        <v>527</v>
      </c>
      <c r="B30" s="83" t="s">
        <v>528</v>
      </c>
      <c r="C30" s="87">
        <v>57283.199999999997</v>
      </c>
      <c r="D30" s="247">
        <v>925</v>
      </c>
    </row>
    <row r="31" spans="1:4" s="65" customFormat="1" ht="28.2" customHeight="1" x14ac:dyDescent="0.35">
      <c r="A31" s="53" t="s">
        <v>769</v>
      </c>
      <c r="B31" s="83" t="s">
        <v>770</v>
      </c>
      <c r="C31" s="87">
        <f>C32</f>
        <v>505.1</v>
      </c>
      <c r="D31" s="247">
        <v>926</v>
      </c>
    </row>
    <row r="32" spans="1:4" s="65" customFormat="1" ht="36" customHeight="1" x14ac:dyDescent="0.35">
      <c r="A32" s="53" t="s">
        <v>768</v>
      </c>
      <c r="B32" s="83" t="s">
        <v>771</v>
      </c>
      <c r="C32" s="87">
        <f>C33</f>
        <v>505.1</v>
      </c>
      <c r="D32" s="247"/>
    </row>
    <row r="33" spans="1:4" s="65" customFormat="1" ht="61.95" customHeight="1" x14ac:dyDescent="0.35">
      <c r="A33" s="53"/>
      <c r="B33" s="296" t="s">
        <v>772</v>
      </c>
      <c r="C33" s="89">
        <v>505.1</v>
      </c>
      <c r="D33" s="247"/>
    </row>
    <row r="34" spans="1:4" ht="22.2" customHeight="1" x14ac:dyDescent="0.35">
      <c r="A34" s="53" t="s">
        <v>460</v>
      </c>
      <c r="B34" s="83" t="s">
        <v>308</v>
      </c>
      <c r="C34" s="87">
        <f>C35</f>
        <v>40507.700000000004</v>
      </c>
      <c r="D34" s="247"/>
    </row>
    <row r="35" spans="1:4" ht="37.950000000000003" customHeight="1" x14ac:dyDescent="0.35">
      <c r="A35" s="53" t="s">
        <v>452</v>
      </c>
      <c r="B35" s="83" t="s">
        <v>309</v>
      </c>
      <c r="C35" s="87">
        <f>SUM(C36:C43)</f>
        <v>40507.700000000004</v>
      </c>
      <c r="D35" s="247"/>
    </row>
    <row r="36" spans="1:4" ht="234" x14ac:dyDescent="0.35">
      <c r="A36" s="73"/>
      <c r="B36" s="295" t="s">
        <v>644</v>
      </c>
      <c r="C36" s="89">
        <v>40</v>
      </c>
      <c r="D36" s="248">
        <v>926</v>
      </c>
    </row>
    <row r="37" spans="1:4" ht="54" x14ac:dyDescent="0.35">
      <c r="A37" s="73"/>
      <c r="B37" s="295" t="s">
        <v>471</v>
      </c>
      <c r="C37" s="89">
        <v>899.4</v>
      </c>
      <c r="D37" s="248">
        <v>929</v>
      </c>
    </row>
    <row r="38" spans="1:4" ht="72" x14ac:dyDescent="0.35">
      <c r="A38" s="73"/>
      <c r="B38" s="296" t="s">
        <v>643</v>
      </c>
      <c r="C38" s="89">
        <v>740</v>
      </c>
      <c r="D38" s="248">
        <v>902</v>
      </c>
    </row>
    <row r="39" spans="1:4" ht="90" x14ac:dyDescent="0.35">
      <c r="A39" s="73"/>
      <c r="B39" s="296" t="s">
        <v>706</v>
      </c>
      <c r="C39" s="89">
        <v>3822.4</v>
      </c>
      <c r="D39" s="248"/>
    </row>
    <row r="40" spans="1:4" ht="36" x14ac:dyDescent="0.35">
      <c r="A40" s="73"/>
      <c r="B40" s="296" t="s">
        <v>708</v>
      </c>
      <c r="C40" s="89">
        <v>12955.3</v>
      </c>
      <c r="D40" s="248">
        <v>902</v>
      </c>
    </row>
    <row r="41" spans="1:4" ht="54" x14ac:dyDescent="0.35">
      <c r="A41" s="73"/>
      <c r="B41" s="296" t="s">
        <v>664</v>
      </c>
      <c r="C41" s="89">
        <v>8140.7</v>
      </c>
      <c r="D41" s="248">
        <v>925</v>
      </c>
    </row>
    <row r="42" spans="1:4" ht="72" x14ac:dyDescent="0.35">
      <c r="A42" s="73"/>
      <c r="B42" s="296" t="s">
        <v>703</v>
      </c>
      <c r="C42" s="89">
        <v>8943.5</v>
      </c>
      <c r="D42" s="248">
        <v>925</v>
      </c>
    </row>
    <row r="43" spans="1:4" ht="144" x14ac:dyDescent="0.35">
      <c r="A43" s="73"/>
      <c r="B43" s="296" t="s">
        <v>784</v>
      </c>
      <c r="C43" s="89">
        <v>4966.3999999999996</v>
      </c>
      <c r="D43" s="248">
        <v>929</v>
      </c>
    </row>
    <row r="44" spans="1:4" ht="36" x14ac:dyDescent="0.35">
      <c r="A44" s="54" t="s">
        <v>461</v>
      </c>
      <c r="B44" s="82" t="s">
        <v>350</v>
      </c>
      <c r="C44" s="87">
        <f>C45+B7+C63+C65+C67+C69</f>
        <v>852007.00000000012</v>
      </c>
      <c r="D44" s="247"/>
    </row>
    <row r="45" spans="1:4" ht="39" customHeight="1" x14ac:dyDescent="0.35">
      <c r="A45" s="54" t="s">
        <v>462</v>
      </c>
      <c r="B45" s="82" t="s">
        <v>21</v>
      </c>
      <c r="C45" s="87">
        <f>C46</f>
        <v>735170.50000000012</v>
      </c>
      <c r="D45" s="247"/>
    </row>
    <row r="46" spans="1:4" ht="54" x14ac:dyDescent="0.35">
      <c r="A46" s="54" t="s">
        <v>453</v>
      </c>
      <c r="B46" s="82" t="s">
        <v>22</v>
      </c>
      <c r="C46" s="87">
        <f>SUM(C47:C53)+SUM(C55:C57)+C60+C61+C62</f>
        <v>735170.50000000012</v>
      </c>
      <c r="D46" s="247"/>
    </row>
    <row r="47" spans="1:4" ht="152.25" customHeight="1" x14ac:dyDescent="0.35">
      <c r="A47" s="54"/>
      <c r="B47" s="295" t="s">
        <v>486</v>
      </c>
      <c r="C47" s="89">
        <v>250</v>
      </c>
      <c r="D47" s="247">
        <v>929</v>
      </c>
    </row>
    <row r="48" spans="1:4" ht="54" x14ac:dyDescent="0.35">
      <c r="A48" s="54"/>
      <c r="B48" s="296" t="s">
        <v>487</v>
      </c>
      <c r="C48" s="445">
        <f>11740.7+78.2+10000</f>
        <v>21818.9</v>
      </c>
      <c r="D48" s="248">
        <v>902</v>
      </c>
    </row>
    <row r="49" spans="1:13" s="74" customFormat="1" ht="72" x14ac:dyDescent="0.35">
      <c r="A49" s="73"/>
      <c r="B49" s="296" t="s">
        <v>263</v>
      </c>
      <c r="C49" s="445">
        <v>2260.9</v>
      </c>
      <c r="D49" s="248">
        <v>925</v>
      </c>
    </row>
    <row r="50" spans="1:13" s="74" customFormat="1" ht="165" customHeight="1" x14ac:dyDescent="0.35">
      <c r="A50" s="54"/>
      <c r="B50" s="296" t="s">
        <v>786</v>
      </c>
      <c r="C50" s="445">
        <f>645.2+78.2</f>
        <v>723.40000000000009</v>
      </c>
      <c r="D50" s="248">
        <v>902</v>
      </c>
    </row>
    <row r="51" spans="1:13" ht="80.25" customHeight="1" x14ac:dyDescent="0.35">
      <c r="A51" s="84"/>
      <c r="B51" s="296" t="s">
        <v>23</v>
      </c>
      <c r="C51" s="445">
        <v>63</v>
      </c>
      <c r="D51" s="248">
        <v>902</v>
      </c>
    </row>
    <row r="52" spans="1:13" ht="154.5" customHeight="1" x14ac:dyDescent="0.35">
      <c r="A52" s="54"/>
      <c r="B52" s="296" t="s">
        <v>488</v>
      </c>
      <c r="C52" s="445">
        <v>63</v>
      </c>
      <c r="D52" s="248">
        <v>902</v>
      </c>
    </row>
    <row r="53" spans="1:13" s="74" customFormat="1" ht="147.75" customHeight="1" x14ac:dyDescent="0.35">
      <c r="A53" s="73"/>
      <c r="B53" s="296" t="s">
        <v>266</v>
      </c>
      <c r="C53" s="445">
        <f>C54</f>
        <v>2250.5</v>
      </c>
      <c r="D53" s="248"/>
    </row>
    <row r="54" spans="1:13" s="74" customFormat="1" ht="60.75" customHeight="1" x14ac:dyDescent="0.35">
      <c r="A54" s="73" t="s">
        <v>262</v>
      </c>
      <c r="B54" s="296" t="s">
        <v>489</v>
      </c>
      <c r="C54" s="445">
        <v>2250.5</v>
      </c>
      <c r="D54" s="248">
        <v>925</v>
      </c>
    </row>
    <row r="55" spans="1:13" ht="152.4" customHeight="1" x14ac:dyDescent="0.35">
      <c r="A55" s="73"/>
      <c r="B55" s="296" t="s">
        <v>407</v>
      </c>
      <c r="C55" s="445">
        <f>48897.8-8141.8+23923.4</f>
        <v>64679.4</v>
      </c>
      <c r="D55" s="248">
        <v>921</v>
      </c>
    </row>
    <row r="56" spans="1:13" ht="131.25" customHeight="1" x14ac:dyDescent="0.35">
      <c r="A56" s="54"/>
      <c r="B56" s="296" t="s">
        <v>658</v>
      </c>
      <c r="C56" s="445">
        <v>1550.9</v>
      </c>
      <c r="D56" s="248">
        <v>902</v>
      </c>
    </row>
    <row r="57" spans="1:13" ht="99.75" customHeight="1" x14ac:dyDescent="0.35">
      <c r="A57" s="73"/>
      <c r="B57" s="296" t="s">
        <v>353</v>
      </c>
      <c r="C57" s="445">
        <f>SUM(C58:C59)</f>
        <v>633102.30000000005</v>
      </c>
      <c r="D57" s="248"/>
    </row>
    <row r="58" spans="1:13" s="74" customFormat="1" ht="27" customHeight="1" x14ac:dyDescent="0.35">
      <c r="A58" s="73" t="s">
        <v>262</v>
      </c>
      <c r="B58" s="296" t="s">
        <v>264</v>
      </c>
      <c r="C58" s="88">
        <v>214246.3</v>
      </c>
      <c r="D58" s="248">
        <v>925</v>
      </c>
    </row>
    <row r="59" spans="1:13" s="74" customFormat="1" x14ac:dyDescent="0.35">
      <c r="A59" s="73"/>
      <c r="B59" s="446" t="s">
        <v>265</v>
      </c>
      <c r="C59" s="88">
        <v>418856</v>
      </c>
      <c r="D59" s="248">
        <v>925</v>
      </c>
    </row>
    <row r="60" spans="1:13" s="74" customFormat="1" ht="204" customHeight="1" x14ac:dyDescent="0.35">
      <c r="A60" s="73"/>
      <c r="B60" s="447" t="s">
        <v>571</v>
      </c>
      <c r="C60" s="445">
        <f>2294.8+780</f>
        <v>3074.8</v>
      </c>
      <c r="D60" s="248">
        <v>925</v>
      </c>
    </row>
    <row r="61" spans="1:13" s="74" customFormat="1" ht="96.75" customHeight="1" x14ac:dyDescent="0.35">
      <c r="A61" s="73"/>
      <c r="B61" s="296" t="s">
        <v>509</v>
      </c>
      <c r="C61" s="445">
        <f>6749.9-2612.6</f>
        <v>4137.2999999999993</v>
      </c>
      <c r="D61" s="249">
        <v>925</v>
      </c>
    </row>
    <row r="62" spans="1:13" s="74" customFormat="1" ht="126" x14ac:dyDescent="0.35">
      <c r="A62" s="73"/>
      <c r="B62" s="296" t="s">
        <v>721</v>
      </c>
      <c r="C62" s="445">
        <v>1196.0999999999999</v>
      </c>
      <c r="D62" s="249">
        <v>925</v>
      </c>
    </row>
    <row r="63" spans="1:13" s="62" customFormat="1" ht="94.5" customHeight="1" x14ac:dyDescent="0.3">
      <c r="A63" s="53" t="s">
        <v>463</v>
      </c>
      <c r="B63" s="82" t="s">
        <v>261</v>
      </c>
      <c r="C63" s="90">
        <f>C64</f>
        <v>5452.5</v>
      </c>
      <c r="D63" s="248" t="s">
        <v>391</v>
      </c>
      <c r="E63" s="59"/>
      <c r="F63" s="60"/>
      <c r="G63" s="61"/>
    </row>
    <row r="64" spans="1:13" s="62" customFormat="1" ht="95.25" customHeight="1" x14ac:dyDescent="0.3">
      <c r="A64" s="53" t="s">
        <v>456</v>
      </c>
      <c r="B64" s="82" t="s">
        <v>8</v>
      </c>
      <c r="C64" s="90">
        <v>5452.5</v>
      </c>
      <c r="D64" s="249">
        <v>925</v>
      </c>
      <c r="E64" s="59"/>
      <c r="H64" s="419"/>
      <c r="I64" s="420"/>
      <c r="J64" s="420"/>
      <c r="K64" s="420"/>
      <c r="L64" s="420"/>
      <c r="M64" s="420"/>
    </row>
    <row r="65" spans="1:13" ht="78.75" customHeight="1" x14ac:dyDescent="0.35">
      <c r="A65" s="54" t="s">
        <v>464</v>
      </c>
      <c r="B65" s="289" t="s">
        <v>406</v>
      </c>
      <c r="C65" s="87">
        <f>C66</f>
        <v>140</v>
      </c>
      <c r="D65" s="248"/>
      <c r="H65" s="420"/>
      <c r="I65" s="420"/>
      <c r="J65" s="420"/>
      <c r="K65" s="420"/>
      <c r="L65" s="420"/>
      <c r="M65" s="420"/>
    </row>
    <row r="66" spans="1:13" ht="87" customHeight="1" x14ac:dyDescent="0.35">
      <c r="A66" s="54" t="s">
        <v>454</v>
      </c>
      <c r="B66" s="289" t="s">
        <v>379</v>
      </c>
      <c r="C66" s="87">
        <f>105+35</f>
        <v>140</v>
      </c>
      <c r="D66" s="248">
        <v>902</v>
      </c>
      <c r="H66" s="420"/>
      <c r="I66" s="420"/>
      <c r="J66" s="420"/>
      <c r="K66" s="420"/>
      <c r="L66" s="420"/>
      <c r="M66" s="420"/>
    </row>
    <row r="67" spans="1:13" ht="87" customHeight="1" x14ac:dyDescent="0.35">
      <c r="A67" s="54" t="s">
        <v>659</v>
      </c>
      <c r="B67" s="289" t="s">
        <v>662</v>
      </c>
      <c r="C67" s="87">
        <f>C68</f>
        <v>33409.300000000003</v>
      </c>
      <c r="D67" s="248"/>
      <c r="H67" s="420"/>
      <c r="I67" s="420"/>
      <c r="J67" s="420"/>
      <c r="K67" s="420"/>
      <c r="L67" s="420"/>
      <c r="M67" s="420"/>
    </row>
    <row r="68" spans="1:13" ht="87" customHeight="1" x14ac:dyDescent="0.35">
      <c r="A68" s="54" t="s">
        <v>660</v>
      </c>
      <c r="B68" s="289" t="s">
        <v>661</v>
      </c>
      <c r="C68" s="87">
        <v>33409.300000000003</v>
      </c>
      <c r="D68" s="248">
        <v>925</v>
      </c>
      <c r="H68" s="420"/>
      <c r="I68" s="420"/>
      <c r="J68" s="420"/>
      <c r="K68" s="420"/>
      <c r="L68" s="420"/>
      <c r="M68" s="420"/>
    </row>
    <row r="69" spans="1:13" ht="36" x14ac:dyDescent="0.35">
      <c r="A69" s="54" t="s">
        <v>735</v>
      </c>
      <c r="B69" s="289" t="s">
        <v>734</v>
      </c>
      <c r="C69" s="613">
        <f>C70</f>
        <v>77834.7</v>
      </c>
    </row>
    <row r="70" spans="1:13" ht="36" x14ac:dyDescent="0.35">
      <c r="A70" s="54" t="s">
        <v>736</v>
      </c>
      <c r="B70" s="289" t="s">
        <v>737</v>
      </c>
      <c r="C70" s="613">
        <f>76464.7+438.4+753.3+78.2+100.1</f>
        <v>77834.7</v>
      </c>
      <c r="D70" s="65">
        <v>902.95299999999997</v>
      </c>
    </row>
    <row r="71" spans="1:13" ht="24" customHeight="1" x14ac:dyDescent="0.35">
      <c r="A71" s="54" t="s">
        <v>469</v>
      </c>
      <c r="B71" s="289" t="s">
        <v>500</v>
      </c>
      <c r="C71" s="87">
        <f>C72</f>
        <v>4250</v>
      </c>
      <c r="D71" s="248"/>
    </row>
    <row r="72" spans="1:13" x14ac:dyDescent="0.35">
      <c r="A72" s="54" t="s">
        <v>787</v>
      </c>
      <c r="B72" s="289" t="s">
        <v>788</v>
      </c>
      <c r="C72" s="613">
        <f>C73</f>
        <v>4250</v>
      </c>
      <c r="D72" s="65">
        <v>925</v>
      </c>
    </row>
    <row r="73" spans="1:13" ht="36" x14ac:dyDescent="0.35">
      <c r="A73" s="54" t="s">
        <v>789</v>
      </c>
      <c r="B73" s="289" t="s">
        <v>790</v>
      </c>
      <c r="C73" s="613">
        <v>4250</v>
      </c>
    </row>
    <row r="74" spans="1:13" x14ac:dyDescent="0.35">
      <c r="A74" s="93"/>
      <c r="B74" s="149"/>
      <c r="C74" s="77"/>
    </row>
    <row r="75" spans="1:13" x14ac:dyDescent="0.35">
      <c r="A75" s="93"/>
      <c r="B75" s="149"/>
      <c r="C75" s="77"/>
    </row>
    <row r="76" spans="1:13" x14ac:dyDescent="0.35">
      <c r="A76" s="85" t="s">
        <v>388</v>
      </c>
      <c r="B76" s="58"/>
      <c r="C76" s="59"/>
      <c r="D76" s="78"/>
    </row>
    <row r="77" spans="1:13" x14ac:dyDescent="0.35">
      <c r="A77" s="85" t="s">
        <v>389</v>
      </c>
      <c r="B77" s="58"/>
      <c r="C77" s="59"/>
      <c r="D77" s="78"/>
    </row>
    <row r="78" spans="1:13" x14ac:dyDescent="0.35">
      <c r="A78" s="86" t="s">
        <v>390</v>
      </c>
      <c r="B78" s="58"/>
      <c r="C78" s="64" t="s">
        <v>412</v>
      </c>
      <c r="D78" s="78"/>
    </row>
    <row r="410" spans="11:12" x14ac:dyDescent="0.35">
      <c r="K410" s="49">
        <v>135.4</v>
      </c>
      <c r="L410" s="49">
        <v>140.9</v>
      </c>
    </row>
    <row r="411" spans="11:12" x14ac:dyDescent="0.35">
      <c r="K411" s="49">
        <v>27088.9</v>
      </c>
      <c r="L411" s="49">
        <v>28171.4</v>
      </c>
    </row>
  </sheetData>
  <autoFilter ref="C5:D411"/>
  <mergeCells count="1">
    <mergeCell ref="A10:C10"/>
  </mergeCells>
  <printOptions horizontalCentered="1"/>
  <pageMargins left="1.1811023622047245" right="0.39370078740157483" top="0.6692913385826772" bottom="0.39370078740157483" header="0" footer="0"/>
  <pageSetup paperSize="9" scale="73" fitToHeight="0" orientation="portrait" blackAndWhite="1" r:id="rId1"/>
  <headerFooter differentFirst="1">
    <oddHeader>&amp;C&amp;"Times New Roman,обычный"&amp;12&amp;P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J402"/>
  <sheetViews>
    <sheetView zoomScale="80" zoomScaleNormal="80" workbookViewId="0">
      <selection activeCell="E25" sqref="E1:E1048576"/>
    </sheetView>
  </sheetViews>
  <sheetFormatPr defaultColWidth="8.88671875" defaultRowHeight="18" x14ac:dyDescent="0.35"/>
  <cols>
    <col min="1" max="1" width="28.6640625" style="49" customWidth="1"/>
    <col min="2" max="2" width="69.109375" style="49" customWidth="1"/>
    <col min="3" max="3" width="13.5546875" style="79" customWidth="1"/>
    <col min="4" max="4" width="14.109375" style="49" customWidth="1"/>
    <col min="5" max="5" width="12.33203125" style="91" hidden="1" customWidth="1"/>
    <col min="6" max="16384" width="8.88671875" style="49"/>
  </cols>
  <sheetData>
    <row r="1" spans="1:5" x14ac:dyDescent="0.35">
      <c r="A1" s="80"/>
      <c r="B1" s="80"/>
      <c r="C1" s="49"/>
      <c r="D1" s="55" t="s">
        <v>670</v>
      </c>
      <c r="E1" s="49"/>
    </row>
    <row r="2" spans="1:5" x14ac:dyDescent="0.35">
      <c r="A2" s="80"/>
      <c r="B2" s="80"/>
      <c r="C2" s="49"/>
      <c r="D2" s="201" t="s">
        <v>795</v>
      </c>
      <c r="E2" s="49"/>
    </row>
    <row r="4" spans="1:5" x14ac:dyDescent="0.35">
      <c r="D4" s="55" t="s">
        <v>670</v>
      </c>
    </row>
    <row r="5" spans="1:5" x14ac:dyDescent="0.35">
      <c r="D5" s="201" t="s">
        <v>733</v>
      </c>
    </row>
    <row r="8" spans="1:5" x14ac:dyDescent="0.35">
      <c r="A8" s="673" t="s">
        <v>657</v>
      </c>
      <c r="B8" s="673"/>
      <c r="C8" s="673"/>
      <c r="D8" s="673"/>
    </row>
    <row r="9" spans="1:5" ht="15" customHeight="1" x14ac:dyDescent="0.35">
      <c r="A9" s="651"/>
      <c r="B9" s="651"/>
      <c r="C9" s="66"/>
    </row>
    <row r="10" spans="1:5" x14ac:dyDescent="0.35">
      <c r="D10" s="67" t="s">
        <v>24</v>
      </c>
    </row>
    <row r="11" spans="1:5" x14ac:dyDescent="0.35">
      <c r="A11" s="676" t="s">
        <v>14</v>
      </c>
      <c r="B11" s="676" t="s">
        <v>15</v>
      </c>
      <c r="C11" s="674" t="s">
        <v>16</v>
      </c>
      <c r="D11" s="675"/>
    </row>
    <row r="12" spans="1:5" x14ac:dyDescent="0.35">
      <c r="A12" s="677"/>
      <c r="B12" s="677"/>
      <c r="C12" s="68" t="s">
        <v>534</v>
      </c>
      <c r="D12" s="68" t="s">
        <v>654</v>
      </c>
    </row>
    <row r="13" spans="1:5" x14ac:dyDescent="0.35">
      <c r="A13" s="69">
        <v>1</v>
      </c>
      <c r="B13" s="69">
        <v>2</v>
      </c>
      <c r="C13" s="70">
        <v>3</v>
      </c>
      <c r="D13" s="70">
        <v>4</v>
      </c>
    </row>
    <row r="14" spans="1:5" x14ac:dyDescent="0.35">
      <c r="A14" s="56" t="s">
        <v>17</v>
      </c>
      <c r="B14" s="71" t="s">
        <v>315</v>
      </c>
      <c r="C14" s="72">
        <f>C15</f>
        <v>1067266.4000000001</v>
      </c>
      <c r="D14" s="72">
        <f>D15</f>
        <v>1086740.5</v>
      </c>
    </row>
    <row r="15" spans="1:5" ht="36" x14ac:dyDescent="0.35">
      <c r="A15" s="54" t="s">
        <v>18</v>
      </c>
      <c r="B15" s="82" t="s">
        <v>19</v>
      </c>
      <c r="C15" s="87">
        <f>C16+C34+C19</f>
        <v>1067266.4000000001</v>
      </c>
      <c r="D15" s="87">
        <f>D16+D34+D19</f>
        <v>1086740.5</v>
      </c>
    </row>
    <row r="16" spans="1:5" ht="36" x14ac:dyDescent="0.35">
      <c r="A16" s="54" t="s">
        <v>457</v>
      </c>
      <c r="B16" s="82" t="s">
        <v>349</v>
      </c>
      <c r="C16" s="87">
        <f>C17</f>
        <v>161147.20000000001</v>
      </c>
      <c r="D16" s="87">
        <f>D17</f>
        <v>179169.5</v>
      </c>
    </row>
    <row r="17" spans="1:5" x14ac:dyDescent="0.35">
      <c r="A17" s="54" t="s">
        <v>458</v>
      </c>
      <c r="B17" s="82" t="s">
        <v>20</v>
      </c>
      <c r="C17" s="87">
        <f>C18</f>
        <v>161147.20000000001</v>
      </c>
      <c r="D17" s="87">
        <f>D18</f>
        <v>179169.5</v>
      </c>
    </row>
    <row r="18" spans="1:5" ht="54" x14ac:dyDescent="0.35">
      <c r="A18" s="54" t="s">
        <v>455</v>
      </c>
      <c r="B18" s="82" t="s">
        <v>496</v>
      </c>
      <c r="C18" s="87">
        <v>161147.20000000001</v>
      </c>
      <c r="D18" s="87">
        <v>179169.5</v>
      </c>
    </row>
    <row r="19" spans="1:5" ht="36" x14ac:dyDescent="0.35">
      <c r="A19" s="54" t="s">
        <v>459</v>
      </c>
      <c r="B19" s="83" t="s">
        <v>378</v>
      </c>
      <c r="C19" s="87">
        <f>C24+C22+C20</f>
        <v>77227.3</v>
      </c>
      <c r="D19" s="87">
        <f>D24+D22+D20</f>
        <v>70478.8</v>
      </c>
    </row>
    <row r="20" spans="1:5" s="65" customFormat="1" ht="56.25" customHeight="1" x14ac:dyDescent="0.35">
      <c r="A20" s="53" t="s">
        <v>572</v>
      </c>
      <c r="B20" s="83" t="s">
        <v>573</v>
      </c>
      <c r="C20" s="87">
        <f>C21</f>
        <v>3579.1</v>
      </c>
      <c r="D20" s="87">
        <f>D21</f>
        <v>0</v>
      </c>
      <c r="E20" s="91"/>
    </row>
    <row r="21" spans="1:5" s="65" customFormat="1" ht="64.5" customHeight="1" x14ac:dyDescent="0.35">
      <c r="A21" s="53" t="s">
        <v>574</v>
      </c>
      <c r="B21" s="83" t="s">
        <v>575</v>
      </c>
      <c r="C21" s="87">
        <v>3579.1</v>
      </c>
      <c r="D21" s="87">
        <v>0</v>
      </c>
      <c r="E21" s="91">
        <v>929</v>
      </c>
    </row>
    <row r="22" spans="1:5" s="65" customFormat="1" ht="72" x14ac:dyDescent="0.35">
      <c r="A22" s="53" t="s">
        <v>531</v>
      </c>
      <c r="B22" s="83" t="s">
        <v>532</v>
      </c>
      <c r="C22" s="87">
        <f>C23</f>
        <v>54805.599999999999</v>
      </c>
      <c r="D22" s="87">
        <f>D23</f>
        <v>55975.9</v>
      </c>
      <c r="E22" s="91"/>
    </row>
    <row r="23" spans="1:5" s="65" customFormat="1" ht="90" x14ac:dyDescent="0.35">
      <c r="A23" s="53" t="s">
        <v>527</v>
      </c>
      <c r="B23" s="83" t="s">
        <v>528</v>
      </c>
      <c r="C23" s="87">
        <v>54805.599999999999</v>
      </c>
      <c r="D23" s="87">
        <v>55975.9</v>
      </c>
      <c r="E23" s="91">
        <v>925</v>
      </c>
    </row>
    <row r="24" spans="1:5" x14ac:dyDescent="0.35">
      <c r="A24" s="53" t="s">
        <v>460</v>
      </c>
      <c r="B24" s="83" t="s">
        <v>308</v>
      </c>
      <c r="C24" s="87">
        <f>C25</f>
        <v>18842.599999999999</v>
      </c>
      <c r="D24" s="87">
        <f>D25</f>
        <v>14502.9</v>
      </c>
    </row>
    <row r="25" spans="1:5" ht="36" x14ac:dyDescent="0.35">
      <c r="A25" s="53" t="s">
        <v>452</v>
      </c>
      <c r="B25" s="83" t="s">
        <v>309</v>
      </c>
      <c r="C25" s="87">
        <f>SUM(C26:C33)</f>
        <v>18842.599999999999</v>
      </c>
      <c r="D25" s="87">
        <f>SUM(D26:D33)</f>
        <v>14502.9</v>
      </c>
    </row>
    <row r="26" spans="1:5" ht="93" customHeight="1" x14ac:dyDescent="0.35">
      <c r="A26" s="73"/>
      <c r="B26" s="296" t="s">
        <v>643</v>
      </c>
      <c r="C26" s="89">
        <v>740</v>
      </c>
      <c r="D26" s="89">
        <v>740</v>
      </c>
      <c r="E26" s="91">
        <v>902</v>
      </c>
    </row>
    <row r="27" spans="1:5" ht="72.75" customHeight="1" x14ac:dyDescent="0.35">
      <c r="A27" s="73"/>
      <c r="B27" s="296" t="s">
        <v>490</v>
      </c>
      <c r="C27" s="89">
        <v>1139.8</v>
      </c>
      <c r="D27" s="89">
        <v>0</v>
      </c>
      <c r="E27" s="91">
        <v>925</v>
      </c>
    </row>
    <row r="28" spans="1:5" ht="234" x14ac:dyDescent="0.35">
      <c r="A28" s="73"/>
      <c r="B28" s="295" t="s">
        <v>644</v>
      </c>
      <c r="C28" s="89">
        <v>40</v>
      </c>
      <c r="D28" s="89">
        <v>40</v>
      </c>
      <c r="E28" s="91">
        <v>926</v>
      </c>
    </row>
    <row r="29" spans="1:5" ht="54" x14ac:dyDescent="0.35">
      <c r="A29" s="73"/>
      <c r="B29" s="295" t="s">
        <v>471</v>
      </c>
      <c r="C29" s="89">
        <v>1499</v>
      </c>
      <c r="D29" s="89">
        <v>1499</v>
      </c>
      <c r="E29" s="91">
        <v>929</v>
      </c>
    </row>
    <row r="30" spans="1:5" ht="36" x14ac:dyDescent="0.35">
      <c r="A30" s="73"/>
      <c r="B30" s="295" t="s">
        <v>708</v>
      </c>
      <c r="C30" s="89">
        <v>1690.7</v>
      </c>
      <c r="D30" s="89">
        <v>0</v>
      </c>
    </row>
    <row r="31" spans="1:5" ht="72" x14ac:dyDescent="0.35">
      <c r="A31" s="73"/>
      <c r="B31" s="295" t="s">
        <v>703</v>
      </c>
      <c r="C31" s="89">
        <v>8766.7000000000007</v>
      </c>
      <c r="D31" s="89">
        <v>8713.4</v>
      </c>
      <c r="E31" s="91">
        <v>925</v>
      </c>
    </row>
    <row r="32" spans="1:5" ht="162" x14ac:dyDescent="0.35">
      <c r="A32" s="73"/>
      <c r="B32" s="295" t="s">
        <v>707</v>
      </c>
      <c r="C32" s="89">
        <v>0</v>
      </c>
      <c r="D32" s="89">
        <v>3510.5</v>
      </c>
    </row>
    <row r="33" spans="1:5" ht="144" x14ac:dyDescent="0.35">
      <c r="A33" s="73"/>
      <c r="B33" s="295" t="s">
        <v>784</v>
      </c>
      <c r="C33" s="89">
        <v>4966.3999999999996</v>
      </c>
      <c r="D33" s="89">
        <v>0</v>
      </c>
      <c r="E33" s="91">
        <v>929</v>
      </c>
    </row>
    <row r="34" spans="1:5" ht="36" x14ac:dyDescent="0.35">
      <c r="A34" s="54" t="s">
        <v>461</v>
      </c>
      <c r="B34" s="82" t="s">
        <v>350</v>
      </c>
      <c r="C34" s="87">
        <f>C35+C53+C57+C59+C61+C55</f>
        <v>828891.90000000014</v>
      </c>
      <c r="D34" s="87">
        <f>D35+D53+D57+D59+D61+D55</f>
        <v>837092.20000000007</v>
      </c>
    </row>
    <row r="35" spans="1:5" ht="39.75" customHeight="1" x14ac:dyDescent="0.35">
      <c r="A35" s="54" t="s">
        <v>462</v>
      </c>
      <c r="B35" s="82" t="s">
        <v>21</v>
      </c>
      <c r="C35" s="87">
        <f>C36</f>
        <v>701709.30000000016</v>
      </c>
      <c r="D35" s="87">
        <f>D36</f>
        <v>706507.60000000009</v>
      </c>
    </row>
    <row r="36" spans="1:5" ht="54" x14ac:dyDescent="0.35">
      <c r="A36" s="54" t="s">
        <v>453</v>
      </c>
      <c r="B36" s="82" t="s">
        <v>22</v>
      </c>
      <c r="C36" s="87">
        <f>SUM(C37:C43)+SUM(C45:C47)+C50+C51+C52</f>
        <v>701709.30000000016</v>
      </c>
      <c r="D36" s="87">
        <f>SUM(D37:D43)+SUM(D45:D47)+D50+D51+D52</f>
        <v>706507.60000000009</v>
      </c>
    </row>
    <row r="37" spans="1:5" ht="162" x14ac:dyDescent="0.35">
      <c r="A37" s="54"/>
      <c r="B37" s="295" t="s">
        <v>486</v>
      </c>
      <c r="C37" s="89">
        <v>250</v>
      </c>
      <c r="D37" s="89">
        <v>250</v>
      </c>
      <c r="E37" s="91">
        <v>929</v>
      </c>
    </row>
    <row r="38" spans="1:5" ht="54" x14ac:dyDescent="0.35">
      <c r="A38" s="54"/>
      <c r="B38" s="296" t="s">
        <v>487</v>
      </c>
      <c r="C38" s="445">
        <f>11732.8+61.4</f>
        <v>11794.199999999999</v>
      </c>
      <c r="D38" s="445">
        <f>16439.1+61.4</f>
        <v>16500.5</v>
      </c>
      <c r="E38" s="91">
        <v>902</v>
      </c>
    </row>
    <row r="39" spans="1:5" ht="72" x14ac:dyDescent="0.35">
      <c r="A39" s="73"/>
      <c r="B39" s="296" t="s">
        <v>263</v>
      </c>
      <c r="C39" s="445">
        <v>2380.9</v>
      </c>
      <c r="D39" s="445">
        <v>2550.3000000000002</v>
      </c>
      <c r="E39" s="91">
        <v>925</v>
      </c>
    </row>
    <row r="40" spans="1:5" ht="162" x14ac:dyDescent="0.35">
      <c r="A40" s="54"/>
      <c r="B40" s="296" t="s">
        <v>786</v>
      </c>
      <c r="C40" s="445">
        <f>661.9+61.5</f>
        <v>723.4</v>
      </c>
      <c r="D40" s="445">
        <f>661.9+61.5</f>
        <v>723.4</v>
      </c>
      <c r="E40" s="91">
        <v>902</v>
      </c>
    </row>
    <row r="41" spans="1:5" s="74" customFormat="1" ht="72" x14ac:dyDescent="0.35">
      <c r="A41" s="84"/>
      <c r="B41" s="296" t="s">
        <v>23</v>
      </c>
      <c r="C41" s="445">
        <v>63</v>
      </c>
      <c r="D41" s="445">
        <v>63</v>
      </c>
      <c r="E41" s="91">
        <v>902</v>
      </c>
    </row>
    <row r="42" spans="1:5" s="74" customFormat="1" ht="144" x14ac:dyDescent="0.35">
      <c r="A42" s="54"/>
      <c r="B42" s="296" t="s">
        <v>488</v>
      </c>
      <c r="C42" s="445">
        <v>63</v>
      </c>
      <c r="D42" s="445">
        <v>63</v>
      </c>
      <c r="E42" s="91">
        <v>902</v>
      </c>
    </row>
    <row r="43" spans="1:5" s="74" customFormat="1" ht="162" x14ac:dyDescent="0.35">
      <c r="A43" s="73"/>
      <c r="B43" s="296" t="s">
        <v>266</v>
      </c>
      <c r="C43" s="445">
        <f>C44</f>
        <v>2340.9</v>
      </c>
      <c r="D43" s="445">
        <f>D44</f>
        <v>2411.1999999999998</v>
      </c>
      <c r="E43" s="91"/>
    </row>
    <row r="44" spans="1:5" s="74" customFormat="1" ht="72" x14ac:dyDescent="0.35">
      <c r="A44" s="73" t="s">
        <v>262</v>
      </c>
      <c r="B44" s="296" t="s">
        <v>489</v>
      </c>
      <c r="C44" s="445">
        <v>2340.9</v>
      </c>
      <c r="D44" s="445">
        <v>2411.1999999999998</v>
      </c>
      <c r="E44" s="91">
        <v>925</v>
      </c>
    </row>
    <row r="45" spans="1:5" ht="148.5" customHeight="1" x14ac:dyDescent="0.35">
      <c r="A45" s="73"/>
      <c r="B45" s="296" t="s">
        <v>407</v>
      </c>
      <c r="C45" s="445">
        <f>47267.9-8141.8</f>
        <v>39126.1</v>
      </c>
      <c r="D45" s="445">
        <f>47267.9-8141.8</f>
        <v>39126.1</v>
      </c>
      <c r="E45" s="91">
        <v>921</v>
      </c>
    </row>
    <row r="46" spans="1:5" ht="153" customHeight="1" x14ac:dyDescent="0.35">
      <c r="A46" s="54"/>
      <c r="B46" s="296" t="s">
        <v>658</v>
      </c>
      <c r="C46" s="445">
        <v>1624.7</v>
      </c>
      <c r="D46" s="445">
        <v>1477</v>
      </c>
      <c r="E46" s="91">
        <v>902</v>
      </c>
    </row>
    <row r="47" spans="1:5" ht="96.75" customHeight="1" x14ac:dyDescent="0.35">
      <c r="A47" s="73"/>
      <c r="B47" s="296" t="s">
        <v>353</v>
      </c>
      <c r="C47" s="445">
        <f>SUM(C48:C49)</f>
        <v>633102.30000000005</v>
      </c>
      <c r="D47" s="445">
        <f>SUM(D48:D49)</f>
        <v>633102.30000000005</v>
      </c>
    </row>
    <row r="48" spans="1:5" ht="20.25" customHeight="1" x14ac:dyDescent="0.35">
      <c r="A48" s="73" t="s">
        <v>262</v>
      </c>
      <c r="B48" s="296" t="s">
        <v>264</v>
      </c>
      <c r="C48" s="88">
        <v>214246.3</v>
      </c>
      <c r="D48" s="88">
        <v>214246.3</v>
      </c>
      <c r="E48" s="91">
        <v>925</v>
      </c>
    </row>
    <row r="49" spans="1:5" x14ac:dyDescent="0.35">
      <c r="A49" s="73"/>
      <c r="B49" s="446" t="s">
        <v>265</v>
      </c>
      <c r="C49" s="88">
        <v>418856</v>
      </c>
      <c r="D49" s="88">
        <v>418856</v>
      </c>
      <c r="E49" s="91">
        <v>925</v>
      </c>
    </row>
    <row r="50" spans="1:5" ht="198" x14ac:dyDescent="0.35">
      <c r="A50" s="73"/>
      <c r="B50" s="447" t="s">
        <v>571</v>
      </c>
      <c r="C50" s="445">
        <v>2294.8000000000002</v>
      </c>
      <c r="D50" s="445">
        <v>2294.8000000000002</v>
      </c>
      <c r="E50" s="91">
        <v>925</v>
      </c>
    </row>
    <row r="51" spans="1:5" ht="90" x14ac:dyDescent="0.35">
      <c r="A51" s="73"/>
      <c r="B51" s="296" t="s">
        <v>509</v>
      </c>
      <c r="C51" s="445">
        <v>6749.9</v>
      </c>
      <c r="D51" s="445">
        <v>6749.9</v>
      </c>
      <c r="E51" s="91">
        <v>925</v>
      </c>
    </row>
    <row r="52" spans="1:5" ht="126" x14ac:dyDescent="0.35">
      <c r="A52" s="73"/>
      <c r="B52" s="296" t="s">
        <v>721</v>
      </c>
      <c r="C52" s="445">
        <v>1196.0999999999999</v>
      </c>
      <c r="D52" s="445">
        <v>1196.0999999999999</v>
      </c>
    </row>
    <row r="53" spans="1:5" s="62" customFormat="1" ht="98.25" customHeight="1" x14ac:dyDescent="0.3">
      <c r="A53" s="53" t="s">
        <v>463</v>
      </c>
      <c r="B53" s="82" t="s">
        <v>261</v>
      </c>
      <c r="C53" s="90">
        <f>C54</f>
        <v>5452.5</v>
      </c>
      <c r="D53" s="90">
        <f>D54</f>
        <v>5452.5</v>
      </c>
      <c r="E53" s="91" t="s">
        <v>391</v>
      </c>
    </row>
    <row r="54" spans="1:5" ht="93" customHeight="1" x14ac:dyDescent="0.35">
      <c r="A54" s="53" t="s">
        <v>456</v>
      </c>
      <c r="B54" s="82" t="s">
        <v>8</v>
      </c>
      <c r="C54" s="90">
        <v>5452.5</v>
      </c>
      <c r="D54" s="90">
        <v>5452.5</v>
      </c>
      <c r="E54" s="92">
        <v>925</v>
      </c>
    </row>
    <row r="55" spans="1:5" ht="93" customHeight="1" x14ac:dyDescent="0.35">
      <c r="A55" s="53" t="s">
        <v>728</v>
      </c>
      <c r="B55" s="82" t="s">
        <v>729</v>
      </c>
      <c r="C55" s="90">
        <f>C56</f>
        <v>8141.8</v>
      </c>
      <c r="D55" s="90">
        <f>D56</f>
        <v>8141.8</v>
      </c>
      <c r="E55" s="92"/>
    </row>
    <row r="56" spans="1:5" ht="93" customHeight="1" x14ac:dyDescent="0.35">
      <c r="A56" s="53" t="s">
        <v>730</v>
      </c>
      <c r="B56" s="82" t="s">
        <v>731</v>
      </c>
      <c r="C56" s="90">
        <v>8141.8</v>
      </c>
      <c r="D56" s="90">
        <v>8141.8</v>
      </c>
      <c r="E56" s="92"/>
    </row>
    <row r="57" spans="1:5" ht="72" x14ac:dyDescent="0.35">
      <c r="A57" s="54" t="s">
        <v>464</v>
      </c>
      <c r="B57" s="289" t="s">
        <v>406</v>
      </c>
      <c r="C57" s="87">
        <f>C58</f>
        <v>24.700000000000003</v>
      </c>
      <c r="D57" s="87">
        <f>D58</f>
        <v>21.5</v>
      </c>
    </row>
    <row r="58" spans="1:5" ht="75" customHeight="1" x14ac:dyDescent="0.35">
      <c r="A58" s="54" t="s">
        <v>454</v>
      </c>
      <c r="B58" s="289" t="s">
        <v>379</v>
      </c>
      <c r="C58" s="87">
        <f>6.1+18.6</f>
        <v>24.700000000000003</v>
      </c>
      <c r="D58" s="87">
        <f>6.1+15.4</f>
        <v>21.5</v>
      </c>
      <c r="E58" s="91">
        <v>902</v>
      </c>
    </row>
    <row r="59" spans="1:5" ht="77.25" customHeight="1" x14ac:dyDescent="0.35">
      <c r="A59" s="53" t="s">
        <v>659</v>
      </c>
      <c r="B59" s="82" t="s">
        <v>662</v>
      </c>
      <c r="C59" s="90">
        <f>C60</f>
        <v>33409.300000000003</v>
      </c>
      <c r="D59" s="90">
        <f>D60</f>
        <v>35284.199999999997</v>
      </c>
      <c r="E59" s="249"/>
    </row>
    <row r="60" spans="1:5" ht="77.25" customHeight="1" x14ac:dyDescent="0.35">
      <c r="A60" s="53" t="s">
        <v>660</v>
      </c>
      <c r="B60" s="82" t="s">
        <v>661</v>
      </c>
      <c r="C60" s="90">
        <v>33409.300000000003</v>
      </c>
      <c r="D60" s="90">
        <v>35284.199999999997</v>
      </c>
      <c r="E60" s="92">
        <v>925</v>
      </c>
    </row>
    <row r="61" spans="1:5" ht="36" x14ac:dyDescent="0.35">
      <c r="A61" s="54" t="s">
        <v>735</v>
      </c>
      <c r="B61" s="289" t="s">
        <v>734</v>
      </c>
      <c r="C61" s="90">
        <f>C62</f>
        <v>80154.299999999988</v>
      </c>
      <c r="D61" s="90">
        <f>D62</f>
        <v>81684.599999999991</v>
      </c>
      <c r="E61" s="92"/>
    </row>
    <row r="62" spans="1:5" ht="36" x14ac:dyDescent="0.35">
      <c r="A62" s="54" t="s">
        <v>736</v>
      </c>
      <c r="B62" s="289" t="s">
        <v>737</v>
      </c>
      <c r="C62" s="90">
        <f>79077.7+344.4+592.2+61.4+78.6</f>
        <v>80154.299999999988</v>
      </c>
      <c r="D62" s="90">
        <f>80608+344.4+592.2+61.4+78.6</f>
        <v>81684.599999999991</v>
      </c>
      <c r="E62" s="92"/>
    </row>
    <row r="63" spans="1:5" x14ac:dyDescent="0.35">
      <c r="A63" s="93"/>
      <c r="B63" s="149"/>
      <c r="C63" s="150"/>
      <c r="D63" s="150"/>
    </row>
    <row r="64" spans="1:5" x14ac:dyDescent="0.35">
      <c r="A64" s="75"/>
      <c r="B64" s="76"/>
      <c r="C64" s="77"/>
    </row>
    <row r="65" spans="1:5" x14ac:dyDescent="0.35">
      <c r="A65" s="57" t="s">
        <v>388</v>
      </c>
      <c r="B65" s="58"/>
      <c r="C65" s="59"/>
      <c r="D65" s="59"/>
      <c r="E65" s="246"/>
    </row>
    <row r="66" spans="1:5" x14ac:dyDescent="0.35">
      <c r="A66" s="57" t="s">
        <v>389</v>
      </c>
      <c r="B66" s="58"/>
      <c r="C66" s="59"/>
      <c r="D66" s="59"/>
      <c r="E66" s="246"/>
    </row>
    <row r="67" spans="1:5" x14ac:dyDescent="0.35">
      <c r="A67" s="63" t="s">
        <v>390</v>
      </c>
      <c r="B67" s="58"/>
      <c r="C67" s="62"/>
      <c r="D67" s="64" t="s">
        <v>412</v>
      </c>
      <c r="E67" s="246"/>
    </row>
    <row r="401" spans="9:10" x14ac:dyDescent="0.35">
      <c r="I401" s="49">
        <v>135.4</v>
      </c>
      <c r="J401" s="49">
        <v>140.9</v>
      </c>
    </row>
    <row r="402" spans="9:10" x14ac:dyDescent="0.35">
      <c r="I402" s="49">
        <v>27088.9</v>
      </c>
      <c r="J402" s="49">
        <v>28171.4</v>
      </c>
    </row>
  </sheetData>
  <autoFilter ref="A13:J62"/>
  <mergeCells count="4">
    <mergeCell ref="C11:D11"/>
    <mergeCell ref="A11:A12"/>
    <mergeCell ref="B11:B12"/>
    <mergeCell ref="A8:D8"/>
  </mergeCells>
  <printOptions horizontalCentered="1"/>
  <pageMargins left="1.1811023622047245" right="0.39370078740157483" top="0.6692913385826772" bottom="0.39370078740157483" header="0.31496062992125984" footer="0"/>
  <pageSetup paperSize="9" scale="68" orientation="portrait" blackAndWhite="1" r:id="rId1"/>
  <headerFooter differentFirst="1">
    <oddHeader>&amp;C&amp;"Times New Roman,обычный"&amp;P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H74"/>
  <sheetViews>
    <sheetView zoomScale="80" zoomScaleNormal="80" zoomScaleSheetLayoutView="80" workbookViewId="0">
      <selection activeCell="I8" sqref="I8"/>
    </sheetView>
  </sheetViews>
  <sheetFormatPr defaultColWidth="9.109375" defaultRowHeight="18" x14ac:dyDescent="0.35"/>
  <cols>
    <col min="1" max="1" width="16.6640625" style="377" customWidth="1"/>
    <col min="2" max="2" width="60.6640625" style="268" customWidth="1"/>
    <col min="3" max="3" width="13.44140625" style="268" customWidth="1"/>
    <col min="4" max="4" width="16.33203125" style="268" customWidth="1"/>
    <col min="5" max="5" width="15.6640625" style="737" customWidth="1"/>
    <col min="6" max="6" width="8.109375" style="268" customWidth="1"/>
    <col min="7" max="7" width="22.88671875" style="268" customWidth="1"/>
    <col min="8" max="16384" width="9.109375" style="268"/>
  </cols>
  <sheetData>
    <row r="1" spans="1:8" x14ac:dyDescent="0.35">
      <c r="E1" s="201" t="s">
        <v>671</v>
      </c>
    </row>
    <row r="2" spans="1:8" x14ac:dyDescent="0.35">
      <c r="E2" s="201" t="s">
        <v>795</v>
      </c>
    </row>
    <row r="4" spans="1:8" ht="18" customHeight="1" x14ac:dyDescent="0.35">
      <c r="A4" s="736" t="s">
        <v>672</v>
      </c>
      <c r="B4" s="736"/>
      <c r="C4" s="736"/>
      <c r="D4" s="736"/>
      <c r="E4" s="736"/>
    </row>
    <row r="5" spans="1:8" x14ac:dyDescent="0.3">
      <c r="A5" s="268"/>
      <c r="E5" s="235" t="s">
        <v>733</v>
      </c>
    </row>
    <row r="7" spans="1:8" x14ac:dyDescent="0.35">
      <c r="B7" s="297"/>
      <c r="C7" s="297"/>
      <c r="D7" s="297"/>
    </row>
    <row r="8" spans="1:8" ht="17.399999999999999" x14ac:dyDescent="0.3">
      <c r="A8" s="735" t="s">
        <v>726</v>
      </c>
      <c r="B8" s="738"/>
      <c r="C8" s="738"/>
      <c r="D8" s="738"/>
      <c r="E8" s="738"/>
    </row>
    <row r="9" spans="1:8" ht="17.399999999999999" x14ac:dyDescent="0.3">
      <c r="A9" s="735" t="s">
        <v>727</v>
      </c>
      <c r="B9" s="738"/>
      <c r="C9" s="738"/>
      <c r="D9" s="738"/>
      <c r="E9" s="738"/>
    </row>
    <row r="10" spans="1:8" ht="17.399999999999999" x14ac:dyDescent="0.3">
      <c r="A10" s="735" t="s">
        <v>651</v>
      </c>
      <c r="B10" s="738"/>
      <c r="C10" s="738"/>
      <c r="D10" s="738"/>
      <c r="E10" s="738"/>
    </row>
    <row r="11" spans="1:8" x14ac:dyDescent="0.35">
      <c r="B11" s="662"/>
      <c r="C11" s="662"/>
      <c r="D11" s="662"/>
      <c r="E11" s="662"/>
    </row>
    <row r="12" spans="1:8" x14ac:dyDescent="0.35">
      <c r="B12" s="297"/>
      <c r="E12" s="739" t="s">
        <v>466</v>
      </c>
    </row>
    <row r="13" spans="1:8" ht="54" x14ac:dyDescent="0.3">
      <c r="A13" s="650" t="s">
        <v>14</v>
      </c>
      <c r="B13" s="740" t="s">
        <v>15</v>
      </c>
      <c r="C13" s="740" t="s">
        <v>414</v>
      </c>
      <c r="D13" s="740" t="s">
        <v>416</v>
      </c>
      <c r="E13" s="740" t="s">
        <v>415</v>
      </c>
    </row>
    <row r="14" spans="1:8" x14ac:dyDescent="0.35">
      <c r="A14" s="401">
        <v>1</v>
      </c>
      <c r="B14" s="298">
        <v>2</v>
      </c>
      <c r="C14" s="298">
        <v>3</v>
      </c>
      <c r="D14" s="298">
        <v>4</v>
      </c>
      <c r="E14" s="299">
        <v>5</v>
      </c>
    </row>
    <row r="15" spans="1:8" ht="51.6" customHeight="1" x14ac:dyDescent="0.35">
      <c r="A15" s="741"/>
      <c r="B15" s="251" t="s">
        <v>417</v>
      </c>
      <c r="C15" s="663"/>
      <c r="D15" s="252"/>
      <c r="E15" s="253"/>
      <c r="H15" s="742"/>
    </row>
    <row r="16" spans="1:8" ht="40.5" customHeight="1" x14ac:dyDescent="0.35">
      <c r="A16" s="650" t="s">
        <v>589</v>
      </c>
      <c r="B16" s="254" t="s">
        <v>418</v>
      </c>
      <c r="C16" s="663">
        <v>100</v>
      </c>
      <c r="D16" s="255"/>
      <c r="E16" s="256"/>
    </row>
    <row r="17" spans="1:5" ht="42" customHeight="1" x14ac:dyDescent="0.35">
      <c r="A17" s="650" t="s">
        <v>590</v>
      </c>
      <c r="B17" s="254" t="s">
        <v>419</v>
      </c>
      <c r="C17" s="663">
        <v>100</v>
      </c>
      <c r="D17" s="257"/>
      <c r="E17" s="258"/>
    </row>
    <row r="18" spans="1:5" ht="97.5" customHeight="1" x14ac:dyDescent="0.35">
      <c r="A18" s="650" t="s">
        <v>591</v>
      </c>
      <c r="B18" s="254" t="s">
        <v>420</v>
      </c>
      <c r="C18" s="663">
        <v>100</v>
      </c>
      <c r="D18" s="259"/>
      <c r="E18" s="256"/>
    </row>
    <row r="19" spans="1:5" ht="62.25" customHeight="1" x14ac:dyDescent="0.35">
      <c r="A19" s="650" t="s">
        <v>592</v>
      </c>
      <c r="B19" s="254" t="s">
        <v>421</v>
      </c>
      <c r="C19" s="663">
        <v>100</v>
      </c>
      <c r="D19" s="259"/>
      <c r="E19" s="256"/>
    </row>
    <row r="20" spans="1:5" ht="42" customHeight="1" x14ac:dyDescent="0.35">
      <c r="A20" s="650" t="s">
        <v>593</v>
      </c>
      <c r="B20" s="254" t="s">
        <v>422</v>
      </c>
      <c r="C20" s="663">
        <v>100</v>
      </c>
      <c r="D20" s="259"/>
      <c r="E20" s="256"/>
    </row>
    <row r="21" spans="1:5" ht="45" customHeight="1" x14ac:dyDescent="0.35">
      <c r="A21" s="650"/>
      <c r="B21" s="251" t="s">
        <v>423</v>
      </c>
      <c r="C21" s="260"/>
      <c r="D21" s="259"/>
      <c r="E21" s="256"/>
    </row>
    <row r="22" spans="1:5" ht="43.5" customHeight="1" x14ac:dyDescent="0.35">
      <c r="A22" s="650" t="s">
        <v>594</v>
      </c>
      <c r="B22" s="254" t="s">
        <v>424</v>
      </c>
      <c r="C22" s="663" t="s">
        <v>52</v>
      </c>
      <c r="D22" s="259"/>
      <c r="E22" s="256"/>
    </row>
    <row r="23" spans="1:5" ht="42" customHeight="1" x14ac:dyDescent="0.35">
      <c r="A23" s="650" t="s">
        <v>595</v>
      </c>
      <c r="B23" s="254" t="s">
        <v>426</v>
      </c>
      <c r="C23" s="261"/>
      <c r="D23" s="663">
        <v>100</v>
      </c>
      <c r="E23" s="258"/>
    </row>
    <row r="24" spans="1:5" ht="40.5" customHeight="1" x14ac:dyDescent="0.35">
      <c r="A24" s="650" t="s">
        <v>596</v>
      </c>
      <c r="B24" s="254" t="s">
        <v>425</v>
      </c>
      <c r="C24" s="260"/>
      <c r="D24" s="259"/>
      <c r="E24" s="663">
        <v>100</v>
      </c>
    </row>
    <row r="25" spans="1:5" ht="38.25" customHeight="1" x14ac:dyDescent="0.35">
      <c r="A25" s="650"/>
      <c r="B25" s="251" t="s">
        <v>467</v>
      </c>
      <c r="C25" s="260"/>
      <c r="D25" s="259"/>
      <c r="E25" s="256"/>
    </row>
    <row r="26" spans="1:5" ht="58.5" customHeight="1" x14ac:dyDescent="0.35">
      <c r="A26" s="650" t="s">
        <v>597</v>
      </c>
      <c r="B26" s="254" t="s">
        <v>13</v>
      </c>
      <c r="C26" s="663" t="s">
        <v>52</v>
      </c>
      <c r="D26" s="257"/>
      <c r="E26" s="258"/>
    </row>
    <row r="27" spans="1:5" ht="59.25" customHeight="1" x14ac:dyDescent="0.35">
      <c r="A27" s="650" t="s">
        <v>598</v>
      </c>
      <c r="B27" s="254" t="s">
        <v>428</v>
      </c>
      <c r="C27" s="260"/>
      <c r="D27" s="663">
        <v>100</v>
      </c>
      <c r="E27" s="256"/>
    </row>
    <row r="28" spans="1:5" ht="59.25" customHeight="1" x14ac:dyDescent="0.35">
      <c r="A28" s="650" t="s">
        <v>599</v>
      </c>
      <c r="B28" s="254" t="s">
        <v>427</v>
      </c>
      <c r="C28" s="260"/>
      <c r="D28" s="259"/>
      <c r="E28" s="663">
        <v>100</v>
      </c>
    </row>
    <row r="29" spans="1:5" ht="59.25" customHeight="1" x14ac:dyDescent="0.35">
      <c r="A29" s="650" t="s">
        <v>600</v>
      </c>
      <c r="B29" s="254" t="s">
        <v>429</v>
      </c>
      <c r="C29" s="663" t="s">
        <v>52</v>
      </c>
      <c r="D29" s="259"/>
      <c r="E29" s="256"/>
    </row>
    <row r="30" spans="1:5" ht="59.25" customHeight="1" x14ac:dyDescent="0.35">
      <c r="A30" s="650" t="s">
        <v>601</v>
      </c>
      <c r="B30" s="254" t="s">
        <v>431</v>
      </c>
      <c r="C30" s="261"/>
      <c r="D30" s="663">
        <v>100</v>
      </c>
      <c r="E30" s="258"/>
    </row>
    <row r="31" spans="1:5" ht="58.5" customHeight="1" x14ac:dyDescent="0.35">
      <c r="A31" s="650" t="s">
        <v>602</v>
      </c>
      <c r="B31" s="254" t="s">
        <v>430</v>
      </c>
      <c r="C31" s="262"/>
      <c r="D31" s="263"/>
      <c r="E31" s="663">
        <v>100</v>
      </c>
    </row>
    <row r="32" spans="1:5" ht="39.75" customHeight="1" x14ac:dyDescent="0.35">
      <c r="A32" s="650" t="s">
        <v>603</v>
      </c>
      <c r="B32" s="254" t="s">
        <v>432</v>
      </c>
      <c r="C32" s="663" t="s">
        <v>52</v>
      </c>
      <c r="D32" s="263"/>
      <c r="E32" s="264"/>
    </row>
    <row r="33" spans="1:5" ht="40.5" customHeight="1" x14ac:dyDescent="0.35">
      <c r="A33" s="650" t="s">
        <v>604</v>
      </c>
      <c r="B33" s="254" t="s">
        <v>434</v>
      </c>
      <c r="C33" s="262"/>
      <c r="D33" s="663">
        <v>100</v>
      </c>
      <c r="E33" s="264"/>
    </row>
    <row r="34" spans="1:5" ht="40.5" customHeight="1" x14ac:dyDescent="0.35">
      <c r="A34" s="650" t="s">
        <v>605</v>
      </c>
      <c r="B34" s="254" t="s">
        <v>433</v>
      </c>
      <c r="C34" s="261"/>
      <c r="D34" s="257"/>
      <c r="E34" s="663">
        <v>100</v>
      </c>
    </row>
    <row r="35" spans="1:5" x14ac:dyDescent="0.35">
      <c r="A35" s="650"/>
      <c r="B35" s="251" t="s">
        <v>435</v>
      </c>
      <c r="C35" s="260"/>
      <c r="D35" s="259"/>
      <c r="E35" s="256"/>
    </row>
    <row r="36" spans="1:5" ht="63" customHeight="1" x14ac:dyDescent="0.35">
      <c r="A36" s="650" t="s">
        <v>606</v>
      </c>
      <c r="B36" s="254" t="s">
        <v>436</v>
      </c>
      <c r="C36" s="663" t="s">
        <v>52</v>
      </c>
      <c r="D36" s="259"/>
      <c r="E36" s="256"/>
    </row>
    <row r="37" spans="1:5" ht="63" customHeight="1" x14ac:dyDescent="0.35">
      <c r="A37" s="650" t="s">
        <v>607</v>
      </c>
      <c r="B37" s="254" t="s">
        <v>438</v>
      </c>
      <c r="C37" s="260"/>
      <c r="D37" s="663">
        <v>100</v>
      </c>
      <c r="E37" s="256"/>
    </row>
    <row r="38" spans="1:5" ht="60" customHeight="1" x14ac:dyDescent="0.35">
      <c r="A38" s="650" t="s">
        <v>608</v>
      </c>
      <c r="B38" s="254" t="s">
        <v>437</v>
      </c>
      <c r="C38" s="260"/>
      <c r="D38" s="265"/>
      <c r="E38" s="663">
        <v>100</v>
      </c>
    </row>
    <row r="39" spans="1:5" x14ac:dyDescent="0.35">
      <c r="A39" s="650"/>
      <c r="B39" s="251" t="s">
        <v>439</v>
      </c>
      <c r="C39" s="260"/>
      <c r="D39" s="259"/>
      <c r="E39" s="256"/>
    </row>
    <row r="40" spans="1:5" ht="234" customHeight="1" x14ac:dyDescent="0.35">
      <c r="A40" s="650" t="s">
        <v>609</v>
      </c>
      <c r="B40" s="82" t="s">
        <v>492</v>
      </c>
      <c r="C40" s="266" t="s">
        <v>52</v>
      </c>
      <c r="D40" s="259"/>
      <c r="E40" s="256"/>
    </row>
    <row r="41" spans="1:5" ht="229.5" customHeight="1" x14ac:dyDescent="0.35">
      <c r="A41" s="650" t="s">
        <v>610</v>
      </c>
      <c r="B41" s="82" t="s">
        <v>511</v>
      </c>
      <c r="C41" s="260"/>
      <c r="D41" s="663">
        <v>100</v>
      </c>
      <c r="E41" s="256"/>
    </row>
    <row r="42" spans="1:5" ht="233.25" customHeight="1" x14ac:dyDescent="0.35">
      <c r="A42" s="650" t="s">
        <v>611</v>
      </c>
      <c r="B42" s="82" t="s">
        <v>510</v>
      </c>
      <c r="C42" s="260"/>
      <c r="D42" s="259"/>
      <c r="E42" s="267">
        <v>100</v>
      </c>
    </row>
    <row r="43" spans="1:5" ht="210" customHeight="1" x14ac:dyDescent="0.35">
      <c r="A43" s="650" t="s">
        <v>612</v>
      </c>
      <c r="B43" s="82" t="s">
        <v>493</v>
      </c>
      <c r="C43" s="663" t="s">
        <v>52</v>
      </c>
      <c r="D43" s="259"/>
      <c r="E43" s="267"/>
    </row>
    <row r="44" spans="1:5" ht="213.75" customHeight="1" x14ac:dyDescent="0.35">
      <c r="A44" s="650" t="s">
        <v>613</v>
      </c>
      <c r="B44" s="82" t="s">
        <v>513</v>
      </c>
      <c r="C44" s="266"/>
      <c r="D44" s="663">
        <v>100</v>
      </c>
      <c r="E44" s="267"/>
    </row>
    <row r="45" spans="1:5" ht="213" customHeight="1" x14ac:dyDescent="0.35">
      <c r="A45" s="650" t="s">
        <v>614</v>
      </c>
      <c r="B45" s="82" t="s">
        <v>512</v>
      </c>
      <c r="C45" s="260"/>
      <c r="D45" s="663"/>
      <c r="E45" s="663">
        <v>100</v>
      </c>
    </row>
    <row r="46" spans="1:5" ht="81.75" customHeight="1" x14ac:dyDescent="0.35">
      <c r="A46" s="650" t="s">
        <v>615</v>
      </c>
      <c r="B46" s="254" t="s">
        <v>504</v>
      </c>
      <c r="C46" s="663" t="s">
        <v>52</v>
      </c>
      <c r="D46" s="259"/>
      <c r="E46" s="267"/>
    </row>
    <row r="47" spans="1:5" ht="81.75" customHeight="1" x14ac:dyDescent="0.35">
      <c r="A47" s="650" t="s">
        <v>616</v>
      </c>
      <c r="B47" s="254" t="s">
        <v>515</v>
      </c>
      <c r="C47" s="260"/>
      <c r="D47" s="663">
        <v>100</v>
      </c>
      <c r="E47" s="267"/>
    </row>
    <row r="48" spans="1:5" ht="81" customHeight="1" x14ac:dyDescent="0.35">
      <c r="A48" s="650" t="s">
        <v>617</v>
      </c>
      <c r="B48" s="254" t="s">
        <v>514</v>
      </c>
      <c r="C48" s="260"/>
      <c r="D48" s="259"/>
      <c r="E48" s="663">
        <v>100</v>
      </c>
    </row>
    <row r="49" spans="1:6" x14ac:dyDescent="0.35">
      <c r="A49" s="650"/>
      <c r="B49" s="251" t="s">
        <v>440</v>
      </c>
      <c r="C49" s="260"/>
      <c r="D49" s="259"/>
      <c r="E49" s="256"/>
    </row>
    <row r="50" spans="1:6" ht="42" customHeight="1" x14ac:dyDescent="0.35">
      <c r="A50" s="650" t="s">
        <v>618</v>
      </c>
      <c r="B50" s="254" t="s">
        <v>1</v>
      </c>
      <c r="C50" s="663" t="s">
        <v>52</v>
      </c>
      <c r="D50" s="259"/>
      <c r="E50" s="256"/>
    </row>
    <row r="51" spans="1:6" ht="43.5" customHeight="1" x14ac:dyDescent="0.35">
      <c r="A51" s="650" t="s">
        <v>619</v>
      </c>
      <c r="B51" s="254" t="s">
        <v>442</v>
      </c>
      <c r="C51" s="260"/>
      <c r="D51" s="663">
        <v>100</v>
      </c>
      <c r="E51" s="663"/>
    </row>
    <row r="52" spans="1:6" ht="43.5" customHeight="1" x14ac:dyDescent="0.35">
      <c r="A52" s="650" t="s">
        <v>620</v>
      </c>
      <c r="B52" s="254" t="s">
        <v>441</v>
      </c>
      <c r="C52" s="260"/>
      <c r="D52" s="663"/>
      <c r="E52" s="663">
        <v>100</v>
      </c>
    </row>
    <row r="53" spans="1:6" ht="100.5" customHeight="1" x14ac:dyDescent="0.35">
      <c r="A53" s="650" t="s">
        <v>621</v>
      </c>
      <c r="B53" s="254" t="s">
        <v>447</v>
      </c>
      <c r="C53" s="260"/>
      <c r="D53" s="663">
        <v>100</v>
      </c>
      <c r="E53" s="663"/>
    </row>
    <row r="54" spans="1:6" ht="100.5" customHeight="1" x14ac:dyDescent="0.35">
      <c r="A54" s="650" t="s">
        <v>622</v>
      </c>
      <c r="B54" s="254" t="s">
        <v>446</v>
      </c>
      <c r="C54" s="260"/>
      <c r="D54" s="663"/>
      <c r="E54" s="663">
        <v>100</v>
      </c>
    </row>
    <row r="55" spans="1:6" ht="48" customHeight="1" x14ac:dyDescent="0.35">
      <c r="A55" s="650" t="s">
        <v>623</v>
      </c>
      <c r="B55" s="254" t="s">
        <v>443</v>
      </c>
      <c r="C55" s="663" t="s">
        <v>52</v>
      </c>
      <c r="D55" s="259"/>
      <c r="E55" s="256"/>
    </row>
    <row r="56" spans="1:6" ht="44.25" customHeight="1" x14ac:dyDescent="0.35">
      <c r="A56" s="650" t="s">
        <v>624</v>
      </c>
      <c r="B56" s="254" t="s">
        <v>445</v>
      </c>
      <c r="C56" s="260"/>
      <c r="D56" s="663">
        <v>100</v>
      </c>
      <c r="E56" s="256"/>
    </row>
    <row r="57" spans="1:6" ht="45.75" customHeight="1" x14ac:dyDescent="0.35">
      <c r="A57" s="650" t="s">
        <v>625</v>
      </c>
      <c r="B57" s="254" t="s">
        <v>444</v>
      </c>
      <c r="C57" s="260"/>
      <c r="D57" s="663"/>
      <c r="E57" s="663">
        <v>100</v>
      </c>
    </row>
    <row r="58" spans="1:6" ht="45" customHeight="1" x14ac:dyDescent="0.35">
      <c r="A58" s="650" t="s">
        <v>626</v>
      </c>
      <c r="B58" s="254" t="s">
        <v>448</v>
      </c>
      <c r="C58" s="663" t="s">
        <v>52</v>
      </c>
      <c r="D58" s="663"/>
      <c r="E58" s="256"/>
    </row>
    <row r="59" spans="1:6" ht="42" customHeight="1" x14ac:dyDescent="0.35">
      <c r="A59" s="650" t="s">
        <v>627</v>
      </c>
      <c r="B59" s="254" t="s">
        <v>450</v>
      </c>
      <c r="C59" s="260"/>
      <c r="D59" s="663">
        <v>100</v>
      </c>
      <c r="E59" s="256"/>
    </row>
    <row r="60" spans="1:6" ht="45" customHeight="1" x14ac:dyDescent="0.35">
      <c r="A60" s="650" t="s">
        <v>628</v>
      </c>
      <c r="B60" s="254" t="s">
        <v>449</v>
      </c>
      <c r="C60" s="260"/>
      <c r="D60" s="259"/>
      <c r="E60" s="663">
        <v>100</v>
      </c>
    </row>
    <row r="61" spans="1:6" ht="47.25" customHeight="1" x14ac:dyDescent="0.35">
      <c r="A61" s="650" t="s">
        <v>629</v>
      </c>
      <c r="B61" s="254" t="s">
        <v>630</v>
      </c>
      <c r="C61" s="266" t="s">
        <v>52</v>
      </c>
      <c r="D61" s="259"/>
      <c r="E61" s="663"/>
    </row>
    <row r="62" spans="1:6" ht="45.75" customHeight="1" x14ac:dyDescent="0.35">
      <c r="A62" s="650" t="s">
        <v>631</v>
      </c>
      <c r="B62" s="254" t="s">
        <v>632</v>
      </c>
      <c r="C62" s="260"/>
      <c r="D62" s="663">
        <v>100</v>
      </c>
      <c r="E62" s="663"/>
    </row>
    <row r="63" spans="1:6" ht="45.75" customHeight="1" x14ac:dyDescent="0.35">
      <c r="A63" s="650" t="s">
        <v>633</v>
      </c>
      <c r="B63" s="254" t="s">
        <v>634</v>
      </c>
      <c r="C63" s="260"/>
      <c r="D63" s="259"/>
      <c r="E63" s="663">
        <v>100</v>
      </c>
    </row>
    <row r="64" spans="1:6" ht="114" customHeight="1" x14ac:dyDescent="0.35">
      <c r="A64" s="650" t="s">
        <v>774</v>
      </c>
      <c r="B64" s="254" t="s">
        <v>775</v>
      </c>
      <c r="C64" s="266" t="s">
        <v>52</v>
      </c>
      <c r="D64" s="259"/>
      <c r="E64" s="663"/>
      <c r="F64" s="377"/>
    </row>
    <row r="65" spans="1:6" ht="96.75" customHeight="1" x14ac:dyDescent="0.35">
      <c r="A65" s="650" t="s">
        <v>776</v>
      </c>
      <c r="B65" s="254" t="s">
        <v>777</v>
      </c>
      <c r="C65" s="260"/>
      <c r="D65" s="663">
        <v>100</v>
      </c>
      <c r="E65" s="663"/>
      <c r="F65" s="377"/>
    </row>
    <row r="66" spans="1:6" ht="97.5" customHeight="1" x14ac:dyDescent="0.35">
      <c r="A66" s="650" t="s">
        <v>778</v>
      </c>
      <c r="B66" s="254" t="s">
        <v>779</v>
      </c>
      <c r="C66" s="260"/>
      <c r="D66" s="259"/>
      <c r="E66" s="663">
        <v>100</v>
      </c>
      <c r="F66" s="377"/>
    </row>
    <row r="67" spans="1:6" x14ac:dyDescent="0.35">
      <c r="B67" s="743"/>
      <c r="C67" s="744"/>
      <c r="D67" s="335"/>
      <c r="E67" s="441"/>
    </row>
    <row r="69" spans="1:6" x14ac:dyDescent="0.35">
      <c r="A69" s="745" t="s">
        <v>388</v>
      </c>
      <c r="B69" s="746"/>
      <c r="C69" s="107"/>
      <c r="D69" s="108"/>
      <c r="E69" s="108"/>
    </row>
    <row r="70" spans="1:6" x14ac:dyDescent="0.35">
      <c r="A70" s="747" t="s">
        <v>389</v>
      </c>
      <c r="B70" s="738"/>
      <c r="C70" s="107"/>
      <c r="D70" s="108"/>
      <c r="E70" s="108"/>
    </row>
    <row r="71" spans="1:6" x14ac:dyDescent="0.35">
      <c r="A71" s="748" t="s">
        <v>390</v>
      </c>
      <c r="B71" s="738"/>
      <c r="C71" s="107"/>
      <c r="D71" s="105"/>
      <c r="E71" s="147" t="s">
        <v>412</v>
      </c>
    </row>
    <row r="72" spans="1:6" ht="17.399999999999999" x14ac:dyDescent="0.3">
      <c r="A72" s="268"/>
      <c r="E72" s="268"/>
    </row>
    <row r="73" spans="1:6" ht="17.399999999999999" x14ac:dyDescent="0.3">
      <c r="A73" s="268"/>
      <c r="E73" s="268"/>
    </row>
    <row r="74" spans="1:6" ht="17.399999999999999" x14ac:dyDescent="0.3">
      <c r="A74" s="268"/>
      <c r="E74" s="268"/>
    </row>
  </sheetData>
  <mergeCells count="7">
    <mergeCell ref="A4:E4"/>
    <mergeCell ref="A69:B69"/>
    <mergeCell ref="A70:B70"/>
    <mergeCell ref="A71:B71"/>
    <mergeCell ref="A8:E8"/>
    <mergeCell ref="A9:E9"/>
    <mergeCell ref="A10:E10"/>
  </mergeCells>
  <pageMargins left="1.1811023622047245" right="0.39370078740157483" top="0.6692913385826772" bottom="0.39370078740157483" header="0.31496062992125984" footer="0.31496062992125984"/>
  <pageSetup paperSize="9" scale="69" orientation="portrait" r:id="rId1"/>
  <headerFooter differentFirst="1">
    <oddHeader>&amp;C&amp;"Times New Roman,обычный"&amp;12&amp;P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I65"/>
  <sheetViews>
    <sheetView topLeftCell="A45" zoomScale="80" zoomScaleNormal="80" zoomScaleSheetLayoutView="80" workbookViewId="0">
      <selection activeCell="N12" sqref="N12"/>
    </sheetView>
  </sheetViews>
  <sheetFormatPr defaultColWidth="9.109375" defaultRowHeight="18" x14ac:dyDescent="0.35"/>
  <cols>
    <col min="1" max="1" width="6.109375" style="377" customWidth="1"/>
    <col min="2" max="2" width="9.109375" style="377" customWidth="1"/>
    <col min="3" max="3" width="59.88671875" style="377" customWidth="1"/>
    <col min="4" max="4" width="14.5546875" style="379" customWidth="1"/>
    <col min="5" max="5" width="17.5546875" style="377" customWidth="1"/>
    <col min="6" max="6" width="16.88671875" style="377" customWidth="1"/>
    <col min="7" max="7" width="11.109375" style="377" hidden="1" customWidth="1"/>
    <col min="8" max="9" width="11.33203125" style="377" hidden="1" customWidth="1"/>
    <col min="10" max="10" width="0" style="377" hidden="1" customWidth="1"/>
    <col min="11" max="16384" width="9.109375" style="377"/>
  </cols>
  <sheetData>
    <row r="1" spans="1:9" x14ac:dyDescent="0.35">
      <c r="F1" s="201" t="s">
        <v>738</v>
      </c>
    </row>
    <row r="2" spans="1:9" x14ac:dyDescent="0.35">
      <c r="F2" s="201" t="s">
        <v>795</v>
      </c>
    </row>
    <row r="4" spans="1:9" x14ac:dyDescent="0.35">
      <c r="A4" s="49"/>
      <c r="B4" s="49"/>
      <c r="C4" s="49"/>
      <c r="D4" s="377"/>
      <c r="F4" s="201" t="s">
        <v>673</v>
      </c>
    </row>
    <row r="5" spans="1:9" x14ac:dyDescent="0.35">
      <c r="A5" s="49"/>
      <c r="B5" s="49"/>
      <c r="C5" s="49"/>
      <c r="D5" s="377"/>
      <c r="F5" s="201" t="s">
        <v>733</v>
      </c>
    </row>
    <row r="6" spans="1:9" x14ac:dyDescent="0.35">
      <c r="F6" s="379"/>
    </row>
    <row r="7" spans="1:9" x14ac:dyDescent="0.35">
      <c r="D7" s="378"/>
    </row>
    <row r="9" spans="1:9" x14ac:dyDescent="0.35">
      <c r="A9" s="682" t="s">
        <v>161</v>
      </c>
      <c r="B9" s="682"/>
      <c r="C9" s="682"/>
      <c r="D9" s="682"/>
      <c r="E9" s="682"/>
      <c r="F9" s="682"/>
    </row>
    <row r="10" spans="1:9" x14ac:dyDescent="0.35">
      <c r="A10" s="682" t="s">
        <v>655</v>
      </c>
      <c r="B10" s="682"/>
      <c r="C10" s="682"/>
      <c r="D10" s="682"/>
      <c r="E10" s="682"/>
      <c r="F10" s="682"/>
    </row>
    <row r="11" spans="1:9" x14ac:dyDescent="0.35">
      <c r="D11" s="377"/>
    </row>
    <row r="12" spans="1:9" x14ac:dyDescent="0.35">
      <c r="D12" s="377"/>
      <c r="F12" s="380" t="s">
        <v>24</v>
      </c>
    </row>
    <row r="13" spans="1:9" ht="22.95" customHeight="1" x14ac:dyDescent="0.35">
      <c r="A13" s="683" t="s">
        <v>162</v>
      </c>
      <c r="B13" s="685" t="s">
        <v>329</v>
      </c>
      <c r="C13" s="685" t="s">
        <v>26</v>
      </c>
      <c r="D13" s="679" t="s">
        <v>16</v>
      </c>
      <c r="E13" s="680"/>
      <c r="F13" s="681"/>
    </row>
    <row r="14" spans="1:9" x14ac:dyDescent="0.35">
      <c r="A14" s="684"/>
      <c r="B14" s="686"/>
      <c r="C14" s="686"/>
      <c r="D14" s="237" t="s">
        <v>470</v>
      </c>
      <c r="E14" s="237" t="s">
        <v>534</v>
      </c>
      <c r="F14" s="237" t="s">
        <v>654</v>
      </c>
    </row>
    <row r="15" spans="1:9" x14ac:dyDescent="0.35">
      <c r="A15" s="298">
        <v>1</v>
      </c>
      <c r="B15" s="298">
        <v>2</v>
      </c>
      <c r="C15" s="298">
        <v>3</v>
      </c>
      <c r="D15" s="299">
        <v>4</v>
      </c>
      <c r="E15" s="401">
        <v>5</v>
      </c>
      <c r="F15" s="401">
        <v>6</v>
      </c>
    </row>
    <row r="16" spans="1:9" x14ac:dyDescent="0.35">
      <c r="A16" s="324"/>
      <c r="B16" s="324"/>
      <c r="C16" s="382" t="s">
        <v>163</v>
      </c>
      <c r="D16" s="383">
        <f>D18+D25+D28+D32+D36+D43+D46+D56+D50+D54+D59</f>
        <v>1962205.1057999996</v>
      </c>
      <c r="E16" s="383">
        <f>E18+E25+E28+E32+E36+E43+E46+E56+E50+E54+E59</f>
        <v>1599332.6</v>
      </c>
      <c r="F16" s="383">
        <f>F18+F25+F28+F32+F36+F43+F46+F56+F50+F54+F59</f>
        <v>1598605.8</v>
      </c>
      <c r="G16" s="384">
        <f>D16-'прил9 (ведом 22)'!M15</f>
        <v>0</v>
      </c>
      <c r="H16" s="384">
        <f>E16-'прил10 (ведом 23-24)'!M16</f>
        <v>0</v>
      </c>
      <c r="I16" s="384">
        <f>F16-'прил10 (ведом 23-24)'!N16</f>
        <v>0</v>
      </c>
    </row>
    <row r="17" spans="1:6" x14ac:dyDescent="0.35">
      <c r="A17" s="324"/>
      <c r="B17" s="324"/>
      <c r="C17" s="385" t="s">
        <v>164</v>
      </c>
      <c r="D17" s="264"/>
      <c r="E17" s="396"/>
      <c r="F17" s="381"/>
    </row>
    <row r="18" spans="1:6" x14ac:dyDescent="0.35">
      <c r="A18" s="301">
        <v>1</v>
      </c>
      <c r="B18" s="386" t="s">
        <v>165</v>
      </c>
      <c r="C18" s="387" t="s">
        <v>38</v>
      </c>
      <c r="D18" s="303">
        <f>SUM(D19:D24)</f>
        <v>197134.41279999999</v>
      </c>
      <c r="E18" s="303">
        <f>SUM(E19:E24)</f>
        <v>148006.39999999997</v>
      </c>
      <c r="F18" s="303">
        <f>SUM(F19:F24)</f>
        <v>149771.9</v>
      </c>
    </row>
    <row r="19" spans="1:6" ht="54" x14ac:dyDescent="0.35">
      <c r="A19" s="304"/>
      <c r="B19" s="262" t="s">
        <v>166</v>
      </c>
      <c r="C19" s="263" t="s">
        <v>167</v>
      </c>
      <c r="D19" s="264">
        <f>'прил9 (ведом 22)'!M769</f>
        <v>2439.1999999999998</v>
      </c>
      <c r="E19" s="256">
        <f>'прил10 (ведом 23-24)'!M590</f>
        <v>2128.5</v>
      </c>
      <c r="F19" s="256">
        <f>'прил10 (ведом 23-24)'!N590</f>
        <v>2128.5</v>
      </c>
    </row>
    <row r="20" spans="1:6" ht="72" x14ac:dyDescent="0.35">
      <c r="A20" s="304"/>
      <c r="B20" s="262" t="s">
        <v>168</v>
      </c>
      <c r="C20" s="263" t="s">
        <v>53</v>
      </c>
      <c r="D20" s="264">
        <f>'прил9 (ведом 22)'!M770</f>
        <v>85863.226000000024</v>
      </c>
      <c r="E20" s="256">
        <f>'прил10 (ведом 23-24)'!M591</f>
        <v>76819.999999999985</v>
      </c>
      <c r="F20" s="256">
        <f>'прил10 (ведом 23-24)'!N591</f>
        <v>76860.799999999988</v>
      </c>
    </row>
    <row r="21" spans="1:6" x14ac:dyDescent="0.35">
      <c r="A21" s="304"/>
      <c r="B21" s="262" t="s">
        <v>413</v>
      </c>
      <c r="C21" s="285" t="s">
        <v>408</v>
      </c>
      <c r="D21" s="264">
        <f>'прил9 (ведом 22)'!M771</f>
        <v>140</v>
      </c>
      <c r="E21" s="256">
        <f>'прил10 (ведом 23-24)'!M592</f>
        <v>24.700000000000003</v>
      </c>
      <c r="F21" s="256">
        <f>'прил10 (ведом 23-24)'!N592</f>
        <v>21.5</v>
      </c>
    </row>
    <row r="22" spans="1:6" ht="54" x14ac:dyDescent="0.35">
      <c r="A22" s="304"/>
      <c r="B22" s="262" t="s">
        <v>169</v>
      </c>
      <c r="C22" s="263" t="s">
        <v>131</v>
      </c>
      <c r="D22" s="264">
        <f>'прил9 (ведом 22)'!M772</f>
        <v>35225.5</v>
      </c>
      <c r="E22" s="256">
        <f>'прил10 (ведом 23-24)'!M593</f>
        <v>30179.4</v>
      </c>
      <c r="F22" s="256">
        <f>'прил10 (ведом 23-24)'!N593</f>
        <v>30180.2</v>
      </c>
    </row>
    <row r="23" spans="1:6" x14ac:dyDescent="0.35">
      <c r="A23" s="304"/>
      <c r="B23" s="262" t="s">
        <v>170</v>
      </c>
      <c r="C23" s="263" t="s">
        <v>68</v>
      </c>
      <c r="D23" s="264">
        <f>'прил9 (ведом 22)'!M773</f>
        <v>14070.2868</v>
      </c>
      <c r="E23" s="256">
        <f>'прил10 (ведом 23-24)'!M594</f>
        <v>5000</v>
      </c>
      <c r="F23" s="256">
        <f>'прил10 (ведом 23-24)'!N594</f>
        <v>5000</v>
      </c>
    </row>
    <row r="24" spans="1:6" x14ac:dyDescent="0.35">
      <c r="A24" s="304"/>
      <c r="B24" s="262" t="s">
        <v>171</v>
      </c>
      <c r="C24" s="263" t="s">
        <v>72</v>
      </c>
      <c r="D24" s="264">
        <f>'прил9 (ведом 22)'!M774</f>
        <v>59396.199999999983</v>
      </c>
      <c r="E24" s="256">
        <f>'прил10 (ведом 23-24)'!M595</f>
        <v>33853.799999999996</v>
      </c>
      <c r="F24" s="256">
        <f>'прил10 (ведом 23-24)'!N595</f>
        <v>35580.9</v>
      </c>
    </row>
    <row r="25" spans="1:6" ht="35.4" x14ac:dyDescent="0.35">
      <c r="A25" s="301">
        <v>2</v>
      </c>
      <c r="B25" s="386" t="s">
        <v>172</v>
      </c>
      <c r="C25" s="387" t="s">
        <v>80</v>
      </c>
      <c r="D25" s="303">
        <f>SUM(D26:D27)</f>
        <v>27746.400000000001</v>
      </c>
      <c r="E25" s="303">
        <f t="shared" ref="E25:F25" si="0">SUM(E26:E27)</f>
        <v>11858.099999999999</v>
      </c>
      <c r="F25" s="303">
        <f t="shared" si="0"/>
        <v>11858.499999999998</v>
      </c>
    </row>
    <row r="26" spans="1:6" ht="54" x14ac:dyDescent="0.35">
      <c r="A26" s="304"/>
      <c r="B26" s="262" t="s">
        <v>537</v>
      </c>
      <c r="C26" s="263" t="s">
        <v>538</v>
      </c>
      <c r="D26" s="264">
        <f>'прил9 (ведом 22)'!M777</f>
        <v>11875.199999999999</v>
      </c>
      <c r="E26" s="256">
        <f>'прил10 (ведом 23-24)'!M598</f>
        <v>362.29999999999995</v>
      </c>
      <c r="F26" s="256">
        <f>'прил10 (ведом 23-24)'!N598</f>
        <v>362.29999999999995</v>
      </c>
    </row>
    <row r="27" spans="1:6" ht="36" x14ac:dyDescent="0.35">
      <c r="A27" s="304"/>
      <c r="B27" s="262" t="s">
        <v>173</v>
      </c>
      <c r="C27" s="263" t="s">
        <v>89</v>
      </c>
      <c r="D27" s="264">
        <f>'прил9 (ведом 22)'!M778</f>
        <v>15871.2</v>
      </c>
      <c r="E27" s="256">
        <f>'прил10 (ведом 23-24)'!M599</f>
        <v>11495.8</v>
      </c>
      <c r="F27" s="256">
        <f>'прил10 (ведом 23-24)'!N599</f>
        <v>11496.199999999999</v>
      </c>
    </row>
    <row r="28" spans="1:6" x14ac:dyDescent="0.35">
      <c r="A28" s="301">
        <v>3</v>
      </c>
      <c r="B28" s="386" t="s">
        <v>174</v>
      </c>
      <c r="C28" s="387" t="s">
        <v>94</v>
      </c>
      <c r="D28" s="303">
        <f>SUM(D29:D31)</f>
        <v>73862.822</v>
      </c>
      <c r="E28" s="303">
        <f t="shared" ref="E28:F28" si="1">SUM(E29:E31)</f>
        <v>28289</v>
      </c>
      <c r="F28" s="303">
        <f t="shared" si="1"/>
        <v>31457.599999999999</v>
      </c>
    </row>
    <row r="29" spans="1:6" x14ac:dyDescent="0.35">
      <c r="A29" s="301"/>
      <c r="B29" s="262" t="s">
        <v>175</v>
      </c>
      <c r="C29" s="263" t="s">
        <v>95</v>
      </c>
      <c r="D29" s="264">
        <f>'прил9 (ведом 22)'!M781</f>
        <v>22646.200000000004</v>
      </c>
      <c r="E29" s="256">
        <f>'прил10 (ведом 23-24)'!M602</f>
        <v>12695.300000000001</v>
      </c>
      <c r="F29" s="256">
        <f>'прил10 (ведом 23-24)'!N602</f>
        <v>17253.900000000001</v>
      </c>
    </row>
    <row r="30" spans="1:6" x14ac:dyDescent="0.35">
      <c r="A30" s="304"/>
      <c r="B30" s="262" t="s">
        <v>176</v>
      </c>
      <c r="C30" s="263" t="s">
        <v>100</v>
      </c>
      <c r="D30" s="264">
        <f>'прил9 (ведом 22)'!M782</f>
        <v>9619.9220000000005</v>
      </c>
      <c r="E30" s="256">
        <f>'прил10 (ведом 23-24)'!M603</f>
        <v>6443.4</v>
      </c>
      <c r="F30" s="256">
        <f>'прил10 (ведом 23-24)'!N603</f>
        <v>6701.1</v>
      </c>
    </row>
    <row r="31" spans="1:6" ht="36" x14ac:dyDescent="0.35">
      <c r="A31" s="304"/>
      <c r="B31" s="262" t="s">
        <v>177</v>
      </c>
      <c r="C31" s="263" t="s">
        <v>108</v>
      </c>
      <c r="D31" s="264">
        <f>'прил9 (ведом 22)'!M783</f>
        <v>41596.699999999997</v>
      </c>
      <c r="E31" s="256">
        <f>'прил10 (ведом 23-24)'!M604</f>
        <v>9150.2999999999993</v>
      </c>
      <c r="F31" s="256">
        <f>'прил10 (ведом 23-24)'!N604</f>
        <v>7502.6</v>
      </c>
    </row>
    <row r="32" spans="1:6" x14ac:dyDescent="0.35">
      <c r="A32" s="301">
        <v>4</v>
      </c>
      <c r="B32" s="386" t="s">
        <v>178</v>
      </c>
      <c r="C32" s="387" t="s">
        <v>179</v>
      </c>
      <c r="D32" s="303">
        <f>SUM(D33:D35)</f>
        <v>60137.999999999993</v>
      </c>
      <c r="E32" s="303">
        <f t="shared" ref="E32:F32" si="2">SUM(E33:E35)</f>
        <v>3516.2</v>
      </c>
      <c r="F32" s="303">
        <f t="shared" si="2"/>
        <v>0</v>
      </c>
    </row>
    <row r="33" spans="1:6" x14ac:dyDescent="0.35">
      <c r="A33" s="304"/>
      <c r="B33" s="262" t="s">
        <v>683</v>
      </c>
      <c r="C33" s="263" t="s">
        <v>562</v>
      </c>
      <c r="D33" s="264">
        <f>'прил9 (ведом 22)'!M786</f>
        <v>43419.7</v>
      </c>
      <c r="E33" s="264">
        <f>'прил10 (ведом 23-24)'!M607</f>
        <v>0</v>
      </c>
      <c r="F33" s="264">
        <f>'прил10 (ведом 23-24)'!N607</f>
        <v>0</v>
      </c>
    </row>
    <row r="34" spans="1:6" x14ac:dyDescent="0.35">
      <c r="A34" s="301"/>
      <c r="B34" s="262" t="s">
        <v>341</v>
      </c>
      <c r="C34" s="263" t="s">
        <v>339</v>
      </c>
      <c r="D34" s="264">
        <f>'прил9 (ведом 22)'!M787</f>
        <v>13384.6</v>
      </c>
      <c r="E34" s="264">
        <f>'прил10 (ведом 23-24)'!M608</f>
        <v>0</v>
      </c>
      <c r="F34" s="264">
        <f>'прил10 (ведом 23-24)'!N608</f>
        <v>0</v>
      </c>
    </row>
    <row r="35" spans="1:6" x14ac:dyDescent="0.35">
      <c r="A35" s="301"/>
      <c r="B35" s="262" t="s">
        <v>641</v>
      </c>
      <c r="C35" s="263" t="s">
        <v>635</v>
      </c>
      <c r="D35" s="264">
        <f>'прил9 (ведом 22)'!M789</f>
        <v>3333.7</v>
      </c>
      <c r="E35" s="256">
        <f>'прил10 (ведом 23-24)'!M609</f>
        <v>3516.2</v>
      </c>
      <c r="F35" s="256">
        <f>'прил10 (ведом 23-24)'!N609</f>
        <v>0</v>
      </c>
    </row>
    <row r="36" spans="1:6" x14ac:dyDescent="0.35">
      <c r="A36" s="301">
        <v>5</v>
      </c>
      <c r="B36" s="386" t="s">
        <v>180</v>
      </c>
      <c r="C36" s="387" t="s">
        <v>181</v>
      </c>
      <c r="D36" s="303">
        <f>SUM(D37:D42)</f>
        <v>1334215.061</v>
      </c>
      <c r="E36" s="303">
        <f>SUM(E37:E42)</f>
        <v>1159522.6000000001</v>
      </c>
      <c r="F36" s="303">
        <f>SUM(F37:F42)</f>
        <v>1164560.8</v>
      </c>
    </row>
    <row r="37" spans="1:6" x14ac:dyDescent="0.35">
      <c r="A37" s="304"/>
      <c r="B37" s="262" t="s">
        <v>182</v>
      </c>
      <c r="C37" s="263" t="s">
        <v>183</v>
      </c>
      <c r="D37" s="264">
        <f>'прил9 (ведом 22)'!M792</f>
        <v>467825.30000000005</v>
      </c>
      <c r="E37" s="264">
        <f>'прил10 (ведом 23-24)'!M612</f>
        <v>383610.4</v>
      </c>
      <c r="F37" s="264">
        <f>'прил10 (ведом 23-24)'!N612</f>
        <v>338318.30000000005</v>
      </c>
    </row>
    <row r="38" spans="1:6" x14ac:dyDescent="0.35">
      <c r="A38" s="304"/>
      <c r="B38" s="262" t="s">
        <v>184</v>
      </c>
      <c r="C38" s="263" t="s">
        <v>185</v>
      </c>
      <c r="D38" s="264">
        <f>'прил9 (ведом 22)'!M793</f>
        <v>656081.10900000005</v>
      </c>
      <c r="E38" s="264">
        <f>'прил10 (ведом 23-24)'!M613</f>
        <v>622488.40000000014</v>
      </c>
      <c r="F38" s="264">
        <f>'прил10 (ведом 23-24)'!N613</f>
        <v>614556.79999999993</v>
      </c>
    </row>
    <row r="39" spans="1:6" x14ac:dyDescent="0.35">
      <c r="A39" s="304"/>
      <c r="B39" s="262" t="s">
        <v>357</v>
      </c>
      <c r="C39" s="263" t="s">
        <v>358</v>
      </c>
      <c r="D39" s="264">
        <f>'прил9 (ведом 22)'!M794</f>
        <v>125112.58500000001</v>
      </c>
      <c r="E39" s="264">
        <f>'прил10 (ведом 23-24)'!M614</f>
        <v>121543.30000000002</v>
      </c>
      <c r="F39" s="264">
        <f>'прил10 (ведом 23-24)'!N614</f>
        <v>131669.69999999998</v>
      </c>
    </row>
    <row r="40" spans="1:6" ht="36" x14ac:dyDescent="0.35">
      <c r="A40" s="304"/>
      <c r="B40" s="262" t="s">
        <v>698</v>
      </c>
      <c r="C40" s="263" t="s">
        <v>699</v>
      </c>
      <c r="D40" s="264">
        <f>'прил9 (ведом 22)'!M795</f>
        <v>221.2</v>
      </c>
      <c r="E40" s="264">
        <f>'прил10 (ведом 23-24)'!M615</f>
        <v>0</v>
      </c>
      <c r="F40" s="264">
        <f>'прил10 (ведом 23-24)'!N615</f>
        <v>0</v>
      </c>
    </row>
    <row r="41" spans="1:6" x14ac:dyDescent="0.35">
      <c r="A41" s="301"/>
      <c r="B41" s="262" t="s">
        <v>186</v>
      </c>
      <c r="C41" s="263" t="s">
        <v>359</v>
      </c>
      <c r="D41" s="264">
        <f>'прил9 (ведом 22)'!M796</f>
        <v>9711.5999999999985</v>
      </c>
      <c r="E41" s="264">
        <f>'прил10 (ведом 23-24)'!M616</f>
        <v>11998.899999999998</v>
      </c>
      <c r="F41" s="264">
        <f>'прил10 (ведом 23-24)'!N616</f>
        <v>11998.899999999998</v>
      </c>
    </row>
    <row r="42" spans="1:6" x14ac:dyDescent="0.35">
      <c r="A42" s="304"/>
      <c r="B42" s="262" t="s">
        <v>187</v>
      </c>
      <c r="C42" s="263" t="s">
        <v>188</v>
      </c>
      <c r="D42" s="264">
        <f>'прил9 (ведом 22)'!M797</f>
        <v>75263.266999999993</v>
      </c>
      <c r="E42" s="264">
        <f>'прил10 (ведом 23-24)'!M617</f>
        <v>19881.600000000002</v>
      </c>
      <c r="F42" s="264">
        <f>'прил10 (ведом 23-24)'!N617</f>
        <v>68017.100000000006</v>
      </c>
    </row>
    <row r="43" spans="1:6" x14ac:dyDescent="0.35">
      <c r="A43" s="301">
        <v>6</v>
      </c>
      <c r="B43" s="386" t="s">
        <v>189</v>
      </c>
      <c r="C43" s="387" t="s">
        <v>190</v>
      </c>
      <c r="D43" s="303">
        <f>SUM(D44:D45)</f>
        <v>43519.4</v>
      </c>
      <c r="E43" s="303">
        <f t="shared" ref="E43:F43" si="3">SUM(E44:E45)</f>
        <v>33870.400000000001</v>
      </c>
      <c r="F43" s="303">
        <f t="shared" si="3"/>
        <v>36898.1</v>
      </c>
    </row>
    <row r="44" spans="1:6" x14ac:dyDescent="0.35">
      <c r="A44" s="304"/>
      <c r="B44" s="262" t="s">
        <v>191</v>
      </c>
      <c r="C44" s="263" t="s">
        <v>192</v>
      </c>
      <c r="D44" s="264">
        <f>'прил9 (ведом 22)'!M800</f>
        <v>32307.723000000002</v>
      </c>
      <c r="E44" s="264">
        <f>'прил10 (ведом 23-24)'!M620</f>
        <v>24617.300000000003</v>
      </c>
      <c r="F44" s="264">
        <f>'прил10 (ведом 23-24)'!N620</f>
        <v>26988.1</v>
      </c>
    </row>
    <row r="45" spans="1:6" ht="18.75" customHeight="1" x14ac:dyDescent="0.35">
      <c r="A45" s="304"/>
      <c r="B45" s="262" t="s">
        <v>193</v>
      </c>
      <c r="C45" s="263" t="s">
        <v>194</v>
      </c>
      <c r="D45" s="264">
        <f>'прил9 (ведом 22)'!M801</f>
        <v>11211.677000000001</v>
      </c>
      <c r="E45" s="256">
        <f>'прил10 (ведом 23-24)'!M621</f>
        <v>9253.1</v>
      </c>
      <c r="F45" s="256">
        <f>'прил10 (ведом 23-24)'!N621</f>
        <v>9910</v>
      </c>
    </row>
    <row r="46" spans="1:6" s="388" customFormat="1" ht="17.399999999999999" x14ac:dyDescent="0.3">
      <c r="A46" s="301">
        <v>7</v>
      </c>
      <c r="B46" s="301">
        <v>1000</v>
      </c>
      <c r="C46" s="387" t="s">
        <v>121</v>
      </c>
      <c r="D46" s="303">
        <f>SUM(D47:D49)</f>
        <v>146270.69999999998</v>
      </c>
      <c r="E46" s="303">
        <f>SUM(E47:E49)</f>
        <v>130407.2</v>
      </c>
      <c r="F46" s="303">
        <f>SUM(F47:F49)</f>
        <v>131937.5</v>
      </c>
    </row>
    <row r="47" spans="1:6" x14ac:dyDescent="0.35">
      <c r="A47" s="304"/>
      <c r="B47" s="304">
        <v>1001</v>
      </c>
      <c r="C47" s="263" t="s">
        <v>364</v>
      </c>
      <c r="D47" s="264">
        <f>'прил9 (ведом 22)'!M804</f>
        <v>1200</v>
      </c>
      <c r="E47" s="264">
        <f>'прил10 (ведом 23-24)'!M624</f>
        <v>504</v>
      </c>
      <c r="F47" s="264">
        <f>'прил10 (ведом 23-24)'!N624</f>
        <v>504</v>
      </c>
    </row>
    <row r="48" spans="1:6" x14ac:dyDescent="0.35">
      <c r="A48" s="304"/>
      <c r="B48" s="304">
        <v>1004</v>
      </c>
      <c r="C48" s="263" t="s">
        <v>195</v>
      </c>
      <c r="D48" s="264">
        <f>'прил9 (ведом 22)'!M806</f>
        <v>135415.69999999998</v>
      </c>
      <c r="E48" s="264">
        <f>'прил10 (ведом 23-24)'!M625</f>
        <v>120323.9</v>
      </c>
      <c r="F48" s="264">
        <f>'прил10 (ведом 23-24)'!N625</f>
        <v>121854.20000000001</v>
      </c>
    </row>
    <row r="49" spans="1:8" x14ac:dyDescent="0.35">
      <c r="A49" s="304"/>
      <c r="B49" s="304">
        <v>1006</v>
      </c>
      <c r="C49" s="263" t="s">
        <v>196</v>
      </c>
      <c r="D49" s="264">
        <f>'прил9 (ведом 22)'!M807</f>
        <v>9655</v>
      </c>
      <c r="E49" s="264">
        <f>'прил10 (ведом 23-24)'!M626</f>
        <v>9579.3000000000011</v>
      </c>
      <c r="F49" s="264">
        <f>'прил10 (ведом 23-24)'!N626</f>
        <v>9579.3000000000011</v>
      </c>
    </row>
    <row r="50" spans="1:8" x14ac:dyDescent="0.35">
      <c r="A50" s="301">
        <v>8</v>
      </c>
      <c r="B50" s="389">
        <v>1100</v>
      </c>
      <c r="C50" s="382" t="s">
        <v>197</v>
      </c>
      <c r="D50" s="303">
        <f>SUM(D51:D53)</f>
        <v>50785.499999999993</v>
      </c>
      <c r="E50" s="303">
        <f t="shared" ref="E50:F50" si="4">SUM(E51:E53)</f>
        <v>49469.599999999999</v>
      </c>
      <c r="F50" s="303">
        <f t="shared" si="4"/>
        <v>30569.7</v>
      </c>
    </row>
    <row r="51" spans="1:8" x14ac:dyDescent="0.35">
      <c r="A51" s="304"/>
      <c r="B51" s="390">
        <v>1101</v>
      </c>
      <c r="C51" s="391" t="s">
        <v>369</v>
      </c>
      <c r="D51" s="264">
        <f>'прил9 (ведом 22)'!M810</f>
        <v>47297.7</v>
      </c>
      <c r="E51" s="264">
        <f>'прил10 (ведом 23-24)'!M629</f>
        <v>42663.199999999997</v>
      </c>
      <c r="F51" s="264">
        <f>'прил10 (ведом 23-24)'!N629</f>
        <v>27452.1</v>
      </c>
    </row>
    <row r="52" spans="1:8" x14ac:dyDescent="0.35">
      <c r="A52" s="301"/>
      <c r="B52" s="262" t="s">
        <v>198</v>
      </c>
      <c r="C52" s="306" t="s">
        <v>199</v>
      </c>
      <c r="D52" s="264">
        <f>'прил9 (ведом 22)'!M811</f>
        <v>629.70000000000005</v>
      </c>
      <c r="E52" s="264">
        <f>'прил10 (ведом 23-24)'!M630</f>
        <v>4319.5</v>
      </c>
      <c r="F52" s="264">
        <f>'прил10 (ведом 23-24)'!N630</f>
        <v>629.70000000000005</v>
      </c>
    </row>
    <row r="53" spans="1:8" ht="36" x14ac:dyDescent="0.35">
      <c r="A53" s="304"/>
      <c r="B53" s="262" t="s">
        <v>200</v>
      </c>
      <c r="C53" s="318" t="s">
        <v>201</v>
      </c>
      <c r="D53" s="264">
        <f>'прил9 (ведом 22)'!M812</f>
        <v>2858.1</v>
      </c>
      <c r="E53" s="256">
        <f>'прил10 (ведом 23-24)'!M631</f>
        <v>2486.9</v>
      </c>
      <c r="F53" s="256">
        <f>'прил10 (ведом 23-24)'!N631</f>
        <v>2487.9</v>
      </c>
    </row>
    <row r="54" spans="1:8" ht="35.4" x14ac:dyDescent="0.35">
      <c r="A54" s="301">
        <v>9</v>
      </c>
      <c r="B54" s="386" t="s">
        <v>404</v>
      </c>
      <c r="C54" s="392" t="s">
        <v>395</v>
      </c>
      <c r="D54" s="303">
        <f>D55</f>
        <v>9.4</v>
      </c>
      <c r="E54" s="303">
        <f t="shared" ref="E54:F54" si="5">E55</f>
        <v>0</v>
      </c>
      <c r="F54" s="303">
        <f t="shared" si="5"/>
        <v>0</v>
      </c>
    </row>
    <row r="55" spans="1:8" ht="36" x14ac:dyDescent="0.35">
      <c r="A55" s="304"/>
      <c r="B55" s="262" t="s">
        <v>405</v>
      </c>
      <c r="C55" s="318" t="s">
        <v>533</v>
      </c>
      <c r="D55" s="264">
        <f>'прил9 (ведом 22)'!M815</f>
        <v>9.4</v>
      </c>
      <c r="E55" s="256">
        <v>0</v>
      </c>
      <c r="F55" s="256">
        <v>0</v>
      </c>
    </row>
    <row r="56" spans="1:8" ht="52.8" x14ac:dyDescent="0.35">
      <c r="A56" s="301">
        <v>10</v>
      </c>
      <c r="B56" s="389">
        <v>1400</v>
      </c>
      <c r="C56" s="387" t="s">
        <v>202</v>
      </c>
      <c r="D56" s="393">
        <f>SUM(D57:D58)</f>
        <v>28523.41</v>
      </c>
      <c r="E56" s="393">
        <f>SUM(E57:E58)</f>
        <v>7000</v>
      </c>
      <c r="F56" s="393">
        <f t="shared" ref="F56" si="6">SUM(F57:F58)</f>
        <v>7000</v>
      </c>
    </row>
    <row r="57" spans="1:8" ht="54" x14ac:dyDescent="0.35">
      <c r="A57" s="394"/>
      <c r="B57" s="390">
        <v>1401</v>
      </c>
      <c r="C57" s="263" t="s">
        <v>203</v>
      </c>
      <c r="D57" s="395">
        <f>'прил9 (ведом 22)'!M818</f>
        <v>7000</v>
      </c>
      <c r="E57" s="310">
        <f>'прил10 (ведом 23-24)'!M637</f>
        <v>7000</v>
      </c>
      <c r="F57" s="310">
        <f>'прил10 (ведом 23-24)'!N637</f>
        <v>7000</v>
      </c>
    </row>
    <row r="58" spans="1:8" ht="36" x14ac:dyDescent="0.35">
      <c r="A58" s="394"/>
      <c r="B58" s="390">
        <v>1403</v>
      </c>
      <c r="C58" s="263" t="s">
        <v>752</v>
      </c>
      <c r="D58" s="395">
        <f>'прил9 (ведом 22)'!M820</f>
        <v>21523.41</v>
      </c>
      <c r="E58" s="310">
        <v>0</v>
      </c>
      <c r="F58" s="310">
        <v>0</v>
      </c>
    </row>
    <row r="59" spans="1:8" s="268" customFormat="1" ht="17.399999999999999" x14ac:dyDescent="0.3">
      <c r="A59" s="300">
        <v>11</v>
      </c>
      <c r="B59" s="302"/>
      <c r="C59" s="257" t="s">
        <v>371</v>
      </c>
      <c r="D59" s="308">
        <f>SUM(D60:D60)</f>
        <v>0</v>
      </c>
      <c r="E59" s="308">
        <f t="shared" ref="E59:F59" si="7">SUM(E60:E60)</f>
        <v>27393.1</v>
      </c>
      <c r="F59" s="308">
        <f t="shared" si="7"/>
        <v>34551.699999999997</v>
      </c>
    </row>
    <row r="60" spans="1:8" s="268" customFormat="1" x14ac:dyDescent="0.35">
      <c r="A60" s="309"/>
      <c r="B60" s="305"/>
      <c r="C60" s="259" t="s">
        <v>371</v>
      </c>
      <c r="D60" s="310">
        <v>0</v>
      </c>
      <c r="E60" s="310">
        <f>'прил10 (ведом 23-24)'!M640</f>
        <v>27393.1</v>
      </c>
      <c r="F60" s="310">
        <f>'прил10 (ведом 23-24)'!N640</f>
        <v>34551.699999999997</v>
      </c>
    </row>
    <row r="63" spans="1:8" s="400" customFormat="1" x14ac:dyDescent="0.35">
      <c r="A63" s="57" t="s">
        <v>388</v>
      </c>
      <c r="B63" s="397"/>
      <c r="C63" s="398"/>
      <c r="D63" s="398"/>
      <c r="E63" s="398"/>
      <c r="F63" s="398"/>
      <c r="G63" s="60"/>
      <c r="H63" s="399"/>
    </row>
    <row r="64" spans="1:8" s="400" customFormat="1" x14ac:dyDescent="0.35">
      <c r="A64" s="57" t="s">
        <v>389</v>
      </c>
      <c r="B64" s="397"/>
      <c r="C64" s="398"/>
      <c r="D64" s="398"/>
      <c r="E64" s="398"/>
      <c r="F64" s="398"/>
      <c r="G64" s="60"/>
      <c r="H64" s="399"/>
    </row>
    <row r="65" spans="1:6" s="400" customFormat="1" x14ac:dyDescent="0.35">
      <c r="A65" s="63" t="s">
        <v>390</v>
      </c>
      <c r="B65" s="397"/>
      <c r="E65" s="398"/>
      <c r="F65" s="64" t="s">
        <v>412</v>
      </c>
    </row>
  </sheetData>
  <mergeCells count="6">
    <mergeCell ref="D13:F13"/>
    <mergeCell ref="A9:F9"/>
    <mergeCell ref="A10:F10"/>
    <mergeCell ref="A13:A14"/>
    <mergeCell ref="B13:B14"/>
    <mergeCell ref="C13:C14"/>
  </mergeCells>
  <printOptions horizontalCentered="1"/>
  <pageMargins left="1.1811023622047245" right="0.39370078740157483" top="0.78740157480314965" bottom="0.78740157480314965" header="0" footer="0"/>
  <pageSetup paperSize="9" scale="68" fitToHeight="0" orientation="portrait" blackAndWhite="1" r:id="rId1"/>
  <headerFooter differentFirst="1" alignWithMargins="0">
    <oddHeader>&amp;C&amp;"Times New Roman,обычный"&amp;12&amp;P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L587"/>
  <sheetViews>
    <sheetView zoomScale="80" zoomScaleNormal="80" workbookViewId="0">
      <pane xSplit="1" ySplit="4" topLeftCell="B565" activePane="bottomRight" state="frozen"/>
      <selection activeCell="H524" sqref="H524"/>
      <selection pane="topRight" activeCell="H524" sqref="H524"/>
      <selection pane="bottomLeft" activeCell="H524" sqref="H524"/>
      <selection pane="bottomRight" activeCell="O6" sqref="O6"/>
    </sheetView>
  </sheetViews>
  <sheetFormatPr defaultColWidth="9.109375" defaultRowHeight="15.6" x14ac:dyDescent="0.3"/>
  <cols>
    <col min="1" max="1" width="4.5546875" style="455" customWidth="1"/>
    <col min="2" max="2" width="62.44140625" style="565" customWidth="1"/>
    <col min="3" max="3" width="3.109375" style="566" customWidth="1"/>
    <col min="4" max="4" width="2" style="566" customWidth="1"/>
    <col min="5" max="5" width="3.109375" style="566" customWidth="1"/>
    <col min="6" max="6" width="8.6640625" style="566" customWidth="1"/>
    <col min="7" max="7" width="5.5546875" style="564" customWidth="1"/>
    <col min="8" max="8" width="15.6640625" style="456" customWidth="1"/>
    <col min="9" max="9" width="9.109375" style="62"/>
    <col min="10" max="10" width="17.6640625" style="62" hidden="1" customWidth="1"/>
    <col min="11" max="14" width="9.109375" style="62"/>
    <col min="15" max="15" width="58.6640625" style="62" customWidth="1"/>
    <col min="16" max="16384" width="9.109375" style="62"/>
  </cols>
  <sheetData>
    <row r="1" spans="1:12" ht="18" x14ac:dyDescent="0.35">
      <c r="H1" s="201" t="s">
        <v>673</v>
      </c>
    </row>
    <row r="2" spans="1:12" ht="18" x14ac:dyDescent="0.35">
      <c r="H2" s="201" t="s">
        <v>795</v>
      </c>
    </row>
    <row r="4" spans="1:12" s="50" customFormat="1" ht="18" x14ac:dyDescent="0.35">
      <c r="H4" s="201" t="s">
        <v>674</v>
      </c>
      <c r="K4" s="55"/>
      <c r="L4" s="339"/>
    </row>
    <row r="5" spans="1:12" s="50" customFormat="1" ht="18" x14ac:dyDescent="0.35">
      <c r="H5" s="201" t="s">
        <v>733</v>
      </c>
      <c r="K5" s="55"/>
      <c r="L5" s="340"/>
    </row>
    <row r="9" spans="1:12" ht="72" customHeight="1" x14ac:dyDescent="0.3">
      <c r="A9" s="687" t="s">
        <v>652</v>
      </c>
      <c r="B9" s="687"/>
      <c r="C9" s="687"/>
      <c r="D9" s="687"/>
      <c r="E9" s="687"/>
      <c r="F9" s="687"/>
      <c r="G9" s="687"/>
      <c r="H9" s="687"/>
    </row>
    <row r="10" spans="1:12" x14ac:dyDescent="0.3">
      <c r="A10" s="62"/>
      <c r="B10" s="62"/>
      <c r="C10" s="455"/>
      <c r="D10" s="455"/>
      <c r="E10" s="455"/>
      <c r="F10" s="455"/>
      <c r="G10" s="456"/>
    </row>
    <row r="11" spans="1:12" ht="18" x14ac:dyDescent="0.35">
      <c r="A11" s="457"/>
      <c r="B11" s="58"/>
      <c r="C11" s="59"/>
      <c r="D11" s="59"/>
      <c r="E11" s="59"/>
      <c r="F11" s="59"/>
      <c r="G11" s="62"/>
      <c r="H11" s="568" t="s">
        <v>24</v>
      </c>
    </row>
    <row r="12" spans="1:12" ht="37.200000000000003" customHeight="1" x14ac:dyDescent="0.3">
      <c r="A12" s="656" t="s">
        <v>25</v>
      </c>
      <c r="B12" s="657" t="s">
        <v>26</v>
      </c>
      <c r="C12" s="688" t="s">
        <v>30</v>
      </c>
      <c r="D12" s="689"/>
      <c r="E12" s="689"/>
      <c r="F12" s="690"/>
      <c r="G12" s="657" t="s">
        <v>31</v>
      </c>
      <c r="H12" s="569" t="s">
        <v>16</v>
      </c>
    </row>
    <row r="13" spans="1:12" ht="18" x14ac:dyDescent="0.35">
      <c r="A13" s="298">
        <v>1</v>
      </c>
      <c r="B13" s="460">
        <v>2</v>
      </c>
      <c r="C13" s="691" t="s">
        <v>32</v>
      </c>
      <c r="D13" s="692"/>
      <c r="E13" s="692"/>
      <c r="F13" s="693"/>
      <c r="G13" s="312" t="s">
        <v>33</v>
      </c>
      <c r="H13" s="299">
        <v>5</v>
      </c>
    </row>
    <row r="14" spans="1:12" ht="19.5" customHeight="1" x14ac:dyDescent="0.35">
      <c r="A14" s="461"/>
      <c r="B14" s="462" t="s">
        <v>204</v>
      </c>
      <c r="C14" s="463"/>
      <c r="D14" s="463"/>
      <c r="E14" s="463"/>
      <c r="F14" s="463"/>
      <c r="G14" s="464"/>
      <c r="H14" s="465">
        <f>H15+H139+H197+H240+H265+H302+H326+H364+H423+H432+H438+H448+H456+H462+H529+H568+H396+H538+H523</f>
        <v>1962205.1058</v>
      </c>
      <c r="J14" s="570">
        <f>H14-'прил9 (ведом 22)'!M15</f>
        <v>0</v>
      </c>
    </row>
    <row r="15" spans="1:12" s="471" customFormat="1" ht="52.2" x14ac:dyDescent="0.3">
      <c r="A15" s="467">
        <v>1</v>
      </c>
      <c r="B15" s="392" t="s">
        <v>207</v>
      </c>
      <c r="C15" s="468" t="s">
        <v>41</v>
      </c>
      <c r="D15" s="468" t="s">
        <v>44</v>
      </c>
      <c r="E15" s="468" t="s">
        <v>45</v>
      </c>
      <c r="F15" s="469" t="s">
        <v>46</v>
      </c>
      <c r="G15" s="470"/>
      <c r="H15" s="337">
        <f>H16+H81+H105</f>
        <v>1263287.6610000001</v>
      </c>
    </row>
    <row r="16" spans="1:12" ht="18.75" customHeight="1" x14ac:dyDescent="0.35">
      <c r="A16" s="461"/>
      <c r="B16" s="472" t="s">
        <v>208</v>
      </c>
      <c r="C16" s="653" t="s">
        <v>41</v>
      </c>
      <c r="D16" s="653" t="s">
        <v>47</v>
      </c>
      <c r="E16" s="653" t="s">
        <v>45</v>
      </c>
      <c r="F16" s="654" t="s">
        <v>46</v>
      </c>
      <c r="G16" s="312"/>
      <c r="H16" s="287">
        <f>H17+H36</f>
        <v>1117660.6090000002</v>
      </c>
    </row>
    <row r="17" spans="1:8" ht="17.25" customHeight="1" x14ac:dyDescent="0.35">
      <c r="A17" s="461"/>
      <c r="B17" s="472" t="s">
        <v>269</v>
      </c>
      <c r="C17" s="272" t="s">
        <v>41</v>
      </c>
      <c r="D17" s="273" t="s">
        <v>47</v>
      </c>
      <c r="E17" s="273" t="s">
        <v>39</v>
      </c>
      <c r="F17" s="274" t="s">
        <v>46</v>
      </c>
      <c r="G17" s="312"/>
      <c r="H17" s="287">
        <f>H27+H30+H32+H18+H22+H24+H20+H34</f>
        <v>471908.5</v>
      </c>
    </row>
    <row r="18" spans="1:8" ht="36" x14ac:dyDescent="0.35">
      <c r="A18" s="461"/>
      <c r="B18" s="472" t="s">
        <v>540</v>
      </c>
      <c r="C18" s="272" t="s">
        <v>41</v>
      </c>
      <c r="D18" s="273" t="s">
        <v>47</v>
      </c>
      <c r="E18" s="273" t="s">
        <v>39</v>
      </c>
      <c r="F18" s="274" t="s">
        <v>93</v>
      </c>
      <c r="G18" s="42"/>
      <c r="H18" s="287">
        <f>H19</f>
        <v>89086.2</v>
      </c>
    </row>
    <row r="19" spans="1:8" ht="37.5" customHeight="1" x14ac:dyDescent="0.35">
      <c r="A19" s="461"/>
      <c r="B19" s="472" t="s">
        <v>78</v>
      </c>
      <c r="C19" s="272" t="s">
        <v>41</v>
      </c>
      <c r="D19" s="273" t="s">
        <v>47</v>
      </c>
      <c r="E19" s="273" t="s">
        <v>39</v>
      </c>
      <c r="F19" s="274" t="s">
        <v>93</v>
      </c>
      <c r="G19" s="42" t="s">
        <v>79</v>
      </c>
      <c r="H19" s="287">
        <f>'прил9 (ведом 22)'!M415</f>
        <v>89086.2</v>
      </c>
    </row>
    <row r="20" spans="1:8" ht="24.75" customHeight="1" x14ac:dyDescent="0.35">
      <c r="A20" s="461"/>
      <c r="B20" s="285" t="s">
        <v>541</v>
      </c>
      <c r="C20" s="272" t="s">
        <v>41</v>
      </c>
      <c r="D20" s="273" t="s">
        <v>47</v>
      </c>
      <c r="E20" s="273" t="s">
        <v>39</v>
      </c>
      <c r="F20" s="274" t="s">
        <v>399</v>
      </c>
      <c r="G20" s="42"/>
      <c r="H20" s="287">
        <f>H21</f>
        <v>4267.0000000000009</v>
      </c>
    </row>
    <row r="21" spans="1:8" ht="38.25" customHeight="1" x14ac:dyDescent="0.35">
      <c r="A21" s="461"/>
      <c r="B21" s="285" t="s">
        <v>78</v>
      </c>
      <c r="C21" s="272" t="s">
        <v>41</v>
      </c>
      <c r="D21" s="273" t="s">
        <v>47</v>
      </c>
      <c r="E21" s="273" t="s">
        <v>39</v>
      </c>
      <c r="F21" s="274" t="s">
        <v>399</v>
      </c>
      <c r="G21" s="42" t="s">
        <v>79</v>
      </c>
      <c r="H21" s="287">
        <f>'прил9 (ведом 22)'!M417</f>
        <v>4267.0000000000009</v>
      </c>
    </row>
    <row r="22" spans="1:8" ht="38.25" customHeight="1" x14ac:dyDescent="0.35">
      <c r="A22" s="461"/>
      <c r="B22" s="285" t="s">
        <v>209</v>
      </c>
      <c r="C22" s="272" t="s">
        <v>41</v>
      </c>
      <c r="D22" s="273" t="s">
        <v>47</v>
      </c>
      <c r="E22" s="273" t="s">
        <v>39</v>
      </c>
      <c r="F22" s="274" t="s">
        <v>275</v>
      </c>
      <c r="G22" s="42"/>
      <c r="H22" s="287">
        <f>H23</f>
        <v>26756.5</v>
      </c>
    </row>
    <row r="23" spans="1:8" ht="41.25" customHeight="1" x14ac:dyDescent="0.35">
      <c r="A23" s="461"/>
      <c r="B23" s="285" t="s">
        <v>78</v>
      </c>
      <c r="C23" s="272" t="s">
        <v>41</v>
      </c>
      <c r="D23" s="273" t="s">
        <v>47</v>
      </c>
      <c r="E23" s="273" t="s">
        <v>39</v>
      </c>
      <c r="F23" s="274" t="s">
        <v>275</v>
      </c>
      <c r="G23" s="42" t="s">
        <v>79</v>
      </c>
      <c r="H23" s="287">
        <f>'прил9 (ведом 22)'!M419</f>
        <v>26756.5</v>
      </c>
    </row>
    <row r="24" spans="1:8" ht="36" customHeight="1" x14ac:dyDescent="0.35">
      <c r="A24" s="461"/>
      <c r="B24" s="285" t="s">
        <v>210</v>
      </c>
      <c r="C24" s="272" t="s">
        <v>41</v>
      </c>
      <c r="D24" s="273" t="s">
        <v>47</v>
      </c>
      <c r="E24" s="273" t="s">
        <v>39</v>
      </c>
      <c r="F24" s="274" t="s">
        <v>276</v>
      </c>
      <c r="G24" s="42"/>
      <c r="H24" s="287">
        <f>H25+H26</f>
        <v>4071.5</v>
      </c>
    </row>
    <row r="25" spans="1:8" ht="39" customHeight="1" x14ac:dyDescent="0.35">
      <c r="A25" s="461"/>
      <c r="B25" s="477" t="s">
        <v>205</v>
      </c>
      <c r="C25" s="272" t="s">
        <v>41</v>
      </c>
      <c r="D25" s="273" t="s">
        <v>47</v>
      </c>
      <c r="E25" s="273" t="s">
        <v>39</v>
      </c>
      <c r="F25" s="274" t="s">
        <v>276</v>
      </c>
      <c r="G25" s="42" t="s">
        <v>206</v>
      </c>
      <c r="H25" s="287">
        <f>'прил9 (ведом 22)'!M370</f>
        <v>3892.6</v>
      </c>
    </row>
    <row r="26" spans="1:8" ht="39" customHeight="1" x14ac:dyDescent="0.35">
      <c r="A26" s="461"/>
      <c r="B26" s="285" t="s">
        <v>78</v>
      </c>
      <c r="C26" s="272" t="s">
        <v>41</v>
      </c>
      <c r="D26" s="273" t="s">
        <v>47</v>
      </c>
      <c r="E26" s="273" t="s">
        <v>39</v>
      </c>
      <c r="F26" s="274" t="s">
        <v>276</v>
      </c>
      <c r="G26" s="42" t="s">
        <v>79</v>
      </c>
      <c r="H26" s="275">
        <f>'прил9 (ведом 22)'!M421</f>
        <v>178.9</v>
      </c>
    </row>
    <row r="27" spans="1:8" ht="112.5" customHeight="1" x14ac:dyDescent="0.35">
      <c r="A27" s="461"/>
      <c r="B27" s="472" t="s">
        <v>285</v>
      </c>
      <c r="C27" s="272" t="s">
        <v>41</v>
      </c>
      <c r="D27" s="273" t="s">
        <v>47</v>
      </c>
      <c r="E27" s="273" t="s">
        <v>39</v>
      </c>
      <c r="F27" s="274" t="s">
        <v>286</v>
      </c>
      <c r="G27" s="42"/>
      <c r="H27" s="287">
        <f>SUM(H28:H29)</f>
        <v>5452.5</v>
      </c>
    </row>
    <row r="28" spans="1:8" ht="36" x14ac:dyDescent="0.35">
      <c r="A28" s="461"/>
      <c r="B28" s="472" t="s">
        <v>57</v>
      </c>
      <c r="C28" s="272" t="s">
        <v>41</v>
      </c>
      <c r="D28" s="273" t="s">
        <v>47</v>
      </c>
      <c r="E28" s="273" t="s">
        <v>39</v>
      </c>
      <c r="F28" s="274" t="s">
        <v>286</v>
      </c>
      <c r="G28" s="42" t="s">
        <v>58</v>
      </c>
      <c r="H28" s="287">
        <f>'прил9 (ведом 22)'!M554</f>
        <v>80.5</v>
      </c>
    </row>
    <row r="29" spans="1:8" ht="22.5" customHeight="1" x14ac:dyDescent="0.35">
      <c r="A29" s="461"/>
      <c r="B29" s="478" t="s">
        <v>122</v>
      </c>
      <c r="C29" s="272" t="s">
        <v>41</v>
      </c>
      <c r="D29" s="273" t="s">
        <v>47</v>
      </c>
      <c r="E29" s="273" t="s">
        <v>39</v>
      </c>
      <c r="F29" s="274" t="s">
        <v>286</v>
      </c>
      <c r="G29" s="42" t="s">
        <v>123</v>
      </c>
      <c r="H29" s="287">
        <f>'прил9 (ведом 22)'!M555</f>
        <v>5372</v>
      </c>
    </row>
    <row r="30" spans="1:8" ht="162" x14ac:dyDescent="0.35">
      <c r="A30" s="461"/>
      <c r="B30" s="472" t="s">
        <v>270</v>
      </c>
      <c r="C30" s="272" t="s">
        <v>41</v>
      </c>
      <c r="D30" s="273" t="s">
        <v>47</v>
      </c>
      <c r="E30" s="273" t="s">
        <v>39</v>
      </c>
      <c r="F30" s="274" t="s">
        <v>271</v>
      </c>
      <c r="G30" s="42"/>
      <c r="H30" s="287">
        <f>H31</f>
        <v>549.29999999999995</v>
      </c>
    </row>
    <row r="31" spans="1:8" ht="41.25" customHeight="1" x14ac:dyDescent="0.35">
      <c r="A31" s="461"/>
      <c r="B31" s="472" t="s">
        <v>78</v>
      </c>
      <c r="C31" s="272" t="s">
        <v>41</v>
      </c>
      <c r="D31" s="273" t="s">
        <v>47</v>
      </c>
      <c r="E31" s="273" t="s">
        <v>39</v>
      </c>
      <c r="F31" s="274" t="s">
        <v>271</v>
      </c>
      <c r="G31" s="42" t="s">
        <v>79</v>
      </c>
      <c r="H31" s="287">
        <f>'прил9 (ведом 22)'!M423</f>
        <v>549.29999999999995</v>
      </c>
    </row>
    <row r="32" spans="1:8" ht="97.5" customHeight="1" x14ac:dyDescent="0.35">
      <c r="A32" s="461"/>
      <c r="B32" s="472" t="s">
        <v>354</v>
      </c>
      <c r="C32" s="272" t="s">
        <v>41</v>
      </c>
      <c r="D32" s="273" t="s">
        <v>47</v>
      </c>
      <c r="E32" s="273" t="s">
        <v>39</v>
      </c>
      <c r="F32" s="274" t="s">
        <v>272</v>
      </c>
      <c r="G32" s="42"/>
      <c r="H32" s="287">
        <f>H33</f>
        <v>214246.3</v>
      </c>
    </row>
    <row r="33" spans="1:8" ht="39.75" customHeight="1" x14ac:dyDescent="0.35">
      <c r="A33" s="461"/>
      <c r="B33" s="478" t="s">
        <v>78</v>
      </c>
      <c r="C33" s="272" t="s">
        <v>41</v>
      </c>
      <c r="D33" s="273" t="s">
        <v>47</v>
      </c>
      <c r="E33" s="273" t="s">
        <v>39</v>
      </c>
      <c r="F33" s="274" t="s">
        <v>272</v>
      </c>
      <c r="G33" s="42" t="s">
        <v>79</v>
      </c>
      <c r="H33" s="287">
        <f>'прил9 (ведом 22)'!M425</f>
        <v>214246.3</v>
      </c>
    </row>
    <row r="34" spans="1:8" ht="108" x14ac:dyDescent="0.35">
      <c r="A34" s="461"/>
      <c r="B34" s="477" t="s">
        <v>646</v>
      </c>
      <c r="C34" s="272" t="s">
        <v>41</v>
      </c>
      <c r="D34" s="273" t="s">
        <v>47</v>
      </c>
      <c r="E34" s="273" t="s">
        <v>39</v>
      </c>
      <c r="F34" s="274" t="s">
        <v>645</v>
      </c>
      <c r="G34" s="42"/>
      <c r="H34" s="287">
        <f>H35</f>
        <v>127479.2</v>
      </c>
    </row>
    <row r="35" spans="1:8" ht="36" x14ac:dyDescent="0.35">
      <c r="A35" s="461"/>
      <c r="B35" s="477" t="s">
        <v>205</v>
      </c>
      <c r="C35" s="272" t="s">
        <v>41</v>
      </c>
      <c r="D35" s="273" t="s">
        <v>47</v>
      </c>
      <c r="E35" s="273" t="s">
        <v>39</v>
      </c>
      <c r="F35" s="274" t="s">
        <v>645</v>
      </c>
      <c r="G35" s="42" t="s">
        <v>206</v>
      </c>
      <c r="H35" s="287">
        <f>'прил9 (ведом 22)'!M372</f>
        <v>127479.2</v>
      </c>
    </row>
    <row r="36" spans="1:8" ht="18" x14ac:dyDescent="0.35">
      <c r="A36" s="461"/>
      <c r="B36" s="472" t="s">
        <v>274</v>
      </c>
      <c r="C36" s="272" t="s">
        <v>41</v>
      </c>
      <c r="D36" s="273" t="s">
        <v>47</v>
      </c>
      <c r="E36" s="273" t="s">
        <v>41</v>
      </c>
      <c r="F36" s="274" t="s">
        <v>46</v>
      </c>
      <c r="G36" s="42"/>
      <c r="H36" s="287">
        <f>H45+H48+H57+H61+H65+H37+H42+H74+H54+H52+H71+H77+H68</f>
        <v>645752.10900000005</v>
      </c>
    </row>
    <row r="37" spans="1:8" ht="36" x14ac:dyDescent="0.35">
      <c r="A37" s="461"/>
      <c r="B37" s="472" t="s">
        <v>540</v>
      </c>
      <c r="C37" s="272" t="s">
        <v>41</v>
      </c>
      <c r="D37" s="273" t="s">
        <v>47</v>
      </c>
      <c r="E37" s="273" t="s">
        <v>41</v>
      </c>
      <c r="F37" s="274" t="s">
        <v>93</v>
      </c>
      <c r="G37" s="42"/>
      <c r="H37" s="287">
        <f>SUM(H38:H41)</f>
        <v>68209.709000000003</v>
      </c>
    </row>
    <row r="38" spans="1:8" ht="90" x14ac:dyDescent="0.35">
      <c r="A38" s="461"/>
      <c r="B38" s="285" t="s">
        <v>51</v>
      </c>
      <c r="C38" s="272" t="s">
        <v>41</v>
      </c>
      <c r="D38" s="273" t="s">
        <v>47</v>
      </c>
      <c r="E38" s="273" t="s">
        <v>41</v>
      </c>
      <c r="F38" s="274" t="s">
        <v>93</v>
      </c>
      <c r="G38" s="42" t="s">
        <v>52</v>
      </c>
      <c r="H38" s="287">
        <f>'прил9 (ведом 22)'!M441</f>
        <v>325.5</v>
      </c>
    </row>
    <row r="39" spans="1:8" ht="36" x14ac:dyDescent="0.35">
      <c r="A39" s="461"/>
      <c r="B39" s="285" t="s">
        <v>57</v>
      </c>
      <c r="C39" s="272" t="s">
        <v>41</v>
      </c>
      <c r="D39" s="273" t="s">
        <v>47</v>
      </c>
      <c r="E39" s="273" t="s">
        <v>41</v>
      </c>
      <c r="F39" s="274" t="s">
        <v>93</v>
      </c>
      <c r="G39" s="42" t="s">
        <v>58</v>
      </c>
      <c r="H39" s="287">
        <f>'прил9 (ведом 22)'!M442</f>
        <v>5560.5089999999991</v>
      </c>
    </row>
    <row r="40" spans="1:8" ht="40.5" customHeight="1" x14ac:dyDescent="0.35">
      <c r="A40" s="461"/>
      <c r="B40" s="472" t="s">
        <v>78</v>
      </c>
      <c r="C40" s="272" t="s">
        <v>41</v>
      </c>
      <c r="D40" s="273" t="s">
        <v>47</v>
      </c>
      <c r="E40" s="273" t="s">
        <v>41</v>
      </c>
      <c r="F40" s="274" t="s">
        <v>93</v>
      </c>
      <c r="G40" s="42" t="s">
        <v>79</v>
      </c>
      <c r="H40" s="287">
        <f>'прил9 (ведом 22)'!M443</f>
        <v>61667.199999999997</v>
      </c>
    </row>
    <row r="41" spans="1:8" ht="18" x14ac:dyDescent="0.35">
      <c r="A41" s="461"/>
      <c r="B41" s="472" t="s">
        <v>59</v>
      </c>
      <c r="C41" s="272" t="s">
        <v>41</v>
      </c>
      <c r="D41" s="273" t="s">
        <v>47</v>
      </c>
      <c r="E41" s="273" t="s">
        <v>41</v>
      </c>
      <c r="F41" s="274" t="s">
        <v>93</v>
      </c>
      <c r="G41" s="42" t="s">
        <v>60</v>
      </c>
      <c r="H41" s="287">
        <f>'прил9 (ведом 22)'!M444</f>
        <v>656.5</v>
      </c>
    </row>
    <row r="42" spans="1:8" ht="18" x14ac:dyDescent="0.35">
      <c r="A42" s="461"/>
      <c r="B42" s="285" t="s">
        <v>541</v>
      </c>
      <c r="C42" s="272" t="s">
        <v>41</v>
      </c>
      <c r="D42" s="273" t="s">
        <v>47</v>
      </c>
      <c r="E42" s="273" t="s">
        <v>41</v>
      </c>
      <c r="F42" s="274" t="s">
        <v>399</v>
      </c>
      <c r="G42" s="42"/>
      <c r="H42" s="287">
        <f>SUM(H43:H44)</f>
        <v>7293.4000000000005</v>
      </c>
    </row>
    <row r="43" spans="1:8" ht="36" x14ac:dyDescent="0.35">
      <c r="A43" s="461"/>
      <c r="B43" s="285" t="s">
        <v>57</v>
      </c>
      <c r="C43" s="272" t="s">
        <v>41</v>
      </c>
      <c r="D43" s="273" t="s">
        <v>47</v>
      </c>
      <c r="E43" s="273" t="s">
        <v>41</v>
      </c>
      <c r="F43" s="274" t="s">
        <v>399</v>
      </c>
      <c r="G43" s="42" t="s">
        <v>58</v>
      </c>
      <c r="H43" s="287">
        <f>'прил9 (ведом 22)'!M446</f>
        <v>595.79999999999995</v>
      </c>
    </row>
    <row r="44" spans="1:8" ht="43.5" customHeight="1" x14ac:dyDescent="0.35">
      <c r="A44" s="461"/>
      <c r="B44" s="472" t="s">
        <v>78</v>
      </c>
      <c r="C44" s="272" t="s">
        <v>41</v>
      </c>
      <c r="D44" s="273" t="s">
        <v>47</v>
      </c>
      <c r="E44" s="273" t="s">
        <v>41</v>
      </c>
      <c r="F44" s="274" t="s">
        <v>399</v>
      </c>
      <c r="G44" s="42" t="s">
        <v>79</v>
      </c>
      <c r="H44" s="287">
        <f>'прил9 (ведом 22)'!M447</f>
        <v>6697.6</v>
      </c>
    </row>
    <row r="45" spans="1:8" ht="42.75" customHeight="1" x14ac:dyDescent="0.35">
      <c r="A45" s="461"/>
      <c r="B45" s="472" t="s">
        <v>209</v>
      </c>
      <c r="C45" s="272" t="s">
        <v>41</v>
      </c>
      <c r="D45" s="273" t="s">
        <v>47</v>
      </c>
      <c r="E45" s="273" t="s">
        <v>41</v>
      </c>
      <c r="F45" s="274" t="s">
        <v>275</v>
      </c>
      <c r="G45" s="42"/>
      <c r="H45" s="287">
        <f>SUM(H46:H47)</f>
        <v>33722.300000000003</v>
      </c>
    </row>
    <row r="46" spans="1:8" ht="36" x14ac:dyDescent="0.35">
      <c r="A46" s="461"/>
      <c r="B46" s="285" t="s">
        <v>57</v>
      </c>
      <c r="C46" s="272" t="s">
        <v>41</v>
      </c>
      <c r="D46" s="273" t="s">
        <v>47</v>
      </c>
      <c r="E46" s="273" t="s">
        <v>41</v>
      </c>
      <c r="F46" s="274" t="s">
        <v>275</v>
      </c>
      <c r="G46" s="42" t="s">
        <v>58</v>
      </c>
      <c r="H46" s="287">
        <f>'прил9 (ведом 22)'!M449</f>
        <v>5104.5</v>
      </c>
    </row>
    <row r="47" spans="1:8" ht="42" customHeight="1" x14ac:dyDescent="0.35">
      <c r="A47" s="461"/>
      <c r="B47" s="472" t="s">
        <v>78</v>
      </c>
      <c r="C47" s="272" t="s">
        <v>41</v>
      </c>
      <c r="D47" s="273" t="s">
        <v>47</v>
      </c>
      <c r="E47" s="273" t="s">
        <v>41</v>
      </c>
      <c r="F47" s="274" t="s">
        <v>275</v>
      </c>
      <c r="G47" s="42" t="s">
        <v>79</v>
      </c>
      <c r="H47" s="287">
        <f>'прил9 (ведом 22)'!M450</f>
        <v>28617.8</v>
      </c>
    </row>
    <row r="48" spans="1:8" ht="36" x14ac:dyDescent="0.35">
      <c r="A48" s="461"/>
      <c r="B48" s="472" t="s">
        <v>210</v>
      </c>
      <c r="C48" s="272" t="s">
        <v>41</v>
      </c>
      <c r="D48" s="273" t="s">
        <v>47</v>
      </c>
      <c r="E48" s="273" t="s">
        <v>41</v>
      </c>
      <c r="F48" s="274" t="s">
        <v>276</v>
      </c>
      <c r="G48" s="42"/>
      <c r="H48" s="287">
        <f>SUM(H49:H51)</f>
        <v>20574.599999999999</v>
      </c>
    </row>
    <row r="49" spans="1:8" ht="36" x14ac:dyDescent="0.35">
      <c r="A49" s="461"/>
      <c r="B49" s="285" t="s">
        <v>57</v>
      </c>
      <c r="C49" s="272" t="s">
        <v>41</v>
      </c>
      <c r="D49" s="273" t="s">
        <v>47</v>
      </c>
      <c r="E49" s="273" t="s">
        <v>41</v>
      </c>
      <c r="F49" s="274" t="s">
        <v>276</v>
      </c>
      <c r="G49" s="42" t="s">
        <v>58</v>
      </c>
      <c r="H49" s="287">
        <f>'прил9 (ведом 22)'!M452</f>
        <v>343.5</v>
      </c>
    </row>
    <row r="50" spans="1:8" ht="36" x14ac:dyDescent="0.35">
      <c r="A50" s="461"/>
      <c r="B50" s="477" t="s">
        <v>205</v>
      </c>
      <c r="C50" s="272" t="s">
        <v>41</v>
      </c>
      <c r="D50" s="273" t="s">
        <v>47</v>
      </c>
      <c r="E50" s="273" t="s">
        <v>41</v>
      </c>
      <c r="F50" s="274" t="s">
        <v>276</v>
      </c>
      <c r="G50" s="42" t="s">
        <v>206</v>
      </c>
      <c r="H50" s="287">
        <f>'прил9 (ведом 22)'!M453+'прил9 (ведом 22)'!M378</f>
        <v>5797.9</v>
      </c>
    </row>
    <row r="51" spans="1:8" ht="38.4" customHeight="1" x14ac:dyDescent="0.35">
      <c r="A51" s="461"/>
      <c r="B51" s="472" t="s">
        <v>78</v>
      </c>
      <c r="C51" s="272" t="s">
        <v>41</v>
      </c>
      <c r="D51" s="273" t="s">
        <v>47</v>
      </c>
      <c r="E51" s="273" t="s">
        <v>41</v>
      </c>
      <c r="F51" s="274" t="s">
        <v>276</v>
      </c>
      <c r="G51" s="42" t="s">
        <v>79</v>
      </c>
      <c r="H51" s="287">
        <f>'прил9 (ведом 22)'!M454</f>
        <v>14433.2</v>
      </c>
    </row>
    <row r="52" spans="1:8" ht="58.95" customHeight="1" x14ac:dyDescent="0.35">
      <c r="A52" s="461"/>
      <c r="B52" s="285" t="s">
        <v>684</v>
      </c>
      <c r="C52" s="272" t="s">
        <v>41</v>
      </c>
      <c r="D52" s="273" t="s">
        <v>47</v>
      </c>
      <c r="E52" s="273" t="s">
        <v>41</v>
      </c>
      <c r="F52" s="274" t="s">
        <v>685</v>
      </c>
      <c r="G52" s="42"/>
      <c r="H52" s="275">
        <f>H53</f>
        <v>30</v>
      </c>
    </row>
    <row r="53" spans="1:8" ht="38.4" customHeight="1" x14ac:dyDescent="0.35">
      <c r="A53" s="461"/>
      <c r="B53" s="285" t="s">
        <v>78</v>
      </c>
      <c r="C53" s="272" t="s">
        <v>41</v>
      </c>
      <c r="D53" s="273" t="s">
        <v>47</v>
      </c>
      <c r="E53" s="273" t="s">
        <v>41</v>
      </c>
      <c r="F53" s="274" t="s">
        <v>685</v>
      </c>
      <c r="G53" s="42" t="s">
        <v>79</v>
      </c>
      <c r="H53" s="275">
        <f>'прил9 (ведом 22)'!M456</f>
        <v>30</v>
      </c>
    </row>
    <row r="54" spans="1:8" ht="144" x14ac:dyDescent="0.35">
      <c r="A54" s="461"/>
      <c r="B54" s="285" t="s">
        <v>687</v>
      </c>
      <c r="C54" s="272" t="s">
        <v>41</v>
      </c>
      <c r="D54" s="273" t="s">
        <v>47</v>
      </c>
      <c r="E54" s="273" t="s">
        <v>41</v>
      </c>
      <c r="F54" s="274" t="s">
        <v>686</v>
      </c>
      <c r="G54" s="42"/>
      <c r="H54" s="287">
        <f>H55+H56</f>
        <v>33409.299999999996</v>
      </c>
    </row>
    <row r="55" spans="1:8" ht="71.400000000000006" customHeight="1" x14ac:dyDescent="0.35">
      <c r="A55" s="461"/>
      <c r="B55" s="285" t="s">
        <v>51</v>
      </c>
      <c r="C55" s="272" t="s">
        <v>41</v>
      </c>
      <c r="D55" s="273" t="s">
        <v>47</v>
      </c>
      <c r="E55" s="273" t="s">
        <v>41</v>
      </c>
      <c r="F55" s="274" t="s">
        <v>686</v>
      </c>
      <c r="G55" s="42" t="s">
        <v>52</v>
      </c>
      <c r="H55" s="287">
        <f>'прил9 (ведом 22)'!M458</f>
        <v>2734.2</v>
      </c>
    </row>
    <row r="56" spans="1:8" ht="33" customHeight="1" x14ac:dyDescent="0.35">
      <c r="A56" s="461"/>
      <c r="B56" s="285" t="s">
        <v>78</v>
      </c>
      <c r="C56" s="272" t="s">
        <v>41</v>
      </c>
      <c r="D56" s="273" t="s">
        <v>47</v>
      </c>
      <c r="E56" s="273" t="s">
        <v>41</v>
      </c>
      <c r="F56" s="274" t="s">
        <v>686</v>
      </c>
      <c r="G56" s="42" t="s">
        <v>79</v>
      </c>
      <c r="H56" s="287">
        <f>'прил9 (ведом 22)'!M459</f>
        <v>30675.1</v>
      </c>
    </row>
    <row r="57" spans="1:8" ht="162" x14ac:dyDescent="0.35">
      <c r="A57" s="461"/>
      <c r="B57" s="472" t="s">
        <v>270</v>
      </c>
      <c r="C57" s="272" t="s">
        <v>41</v>
      </c>
      <c r="D57" s="273" t="s">
        <v>47</v>
      </c>
      <c r="E57" s="273" t="s">
        <v>41</v>
      </c>
      <c r="F57" s="274" t="s">
        <v>271</v>
      </c>
      <c r="G57" s="42"/>
      <c r="H57" s="287">
        <f>SUM(H58:H60)</f>
        <v>1595.1</v>
      </c>
    </row>
    <row r="58" spans="1:8" ht="90" x14ac:dyDescent="0.35">
      <c r="A58" s="461"/>
      <c r="B58" s="285" t="s">
        <v>51</v>
      </c>
      <c r="C58" s="272" t="s">
        <v>41</v>
      </c>
      <c r="D58" s="273" t="s">
        <v>47</v>
      </c>
      <c r="E58" s="273" t="s">
        <v>41</v>
      </c>
      <c r="F58" s="274" t="s">
        <v>271</v>
      </c>
      <c r="G58" s="42" t="s">
        <v>52</v>
      </c>
      <c r="H58" s="287">
        <f>'прил9 (ведом 22)'!M461</f>
        <v>99.7</v>
      </c>
    </row>
    <row r="59" spans="1:8" ht="18.600000000000001" customHeight="1" x14ac:dyDescent="0.35">
      <c r="A59" s="461"/>
      <c r="B59" s="285" t="s">
        <v>122</v>
      </c>
      <c r="C59" s="272" t="s">
        <v>41</v>
      </c>
      <c r="D59" s="273" t="s">
        <v>47</v>
      </c>
      <c r="E59" s="273" t="s">
        <v>41</v>
      </c>
      <c r="F59" s="274" t="s">
        <v>271</v>
      </c>
      <c r="G59" s="42" t="s">
        <v>123</v>
      </c>
      <c r="H59" s="287">
        <f>'прил9 (ведом 22)'!M462</f>
        <v>6.6</v>
      </c>
    </row>
    <row r="60" spans="1:8" ht="42" customHeight="1" x14ac:dyDescent="0.35">
      <c r="A60" s="461"/>
      <c r="B60" s="472" t="s">
        <v>78</v>
      </c>
      <c r="C60" s="272" t="s">
        <v>41</v>
      </c>
      <c r="D60" s="273" t="s">
        <v>47</v>
      </c>
      <c r="E60" s="273" t="s">
        <v>41</v>
      </c>
      <c r="F60" s="274" t="s">
        <v>271</v>
      </c>
      <c r="G60" s="42" t="s">
        <v>79</v>
      </c>
      <c r="H60" s="287">
        <f>'прил9 (ведом 22)'!M463</f>
        <v>1488.8</v>
      </c>
    </row>
    <row r="61" spans="1:8" ht="99" customHeight="1" x14ac:dyDescent="0.35">
      <c r="A61" s="461"/>
      <c r="B61" s="472" t="s">
        <v>354</v>
      </c>
      <c r="C61" s="272" t="s">
        <v>41</v>
      </c>
      <c r="D61" s="273" t="s">
        <v>47</v>
      </c>
      <c r="E61" s="273" t="s">
        <v>41</v>
      </c>
      <c r="F61" s="274" t="s">
        <v>272</v>
      </c>
      <c r="G61" s="42"/>
      <c r="H61" s="287">
        <f>SUM(H62:H64)</f>
        <v>402579.3</v>
      </c>
    </row>
    <row r="62" spans="1:8" ht="90" x14ac:dyDescent="0.35">
      <c r="A62" s="461"/>
      <c r="B62" s="472" t="s">
        <v>51</v>
      </c>
      <c r="C62" s="272" t="s">
        <v>41</v>
      </c>
      <c r="D62" s="273" t="s">
        <v>47</v>
      </c>
      <c r="E62" s="273" t="s">
        <v>41</v>
      </c>
      <c r="F62" s="274" t="s">
        <v>272</v>
      </c>
      <c r="G62" s="42" t="s">
        <v>52</v>
      </c>
      <c r="H62" s="287">
        <f>'прил9 (ведом 22)'!M465</f>
        <v>26623.599999999999</v>
      </c>
    </row>
    <row r="63" spans="1:8" ht="36" x14ac:dyDescent="0.35">
      <c r="A63" s="461"/>
      <c r="B63" s="472" t="s">
        <v>57</v>
      </c>
      <c r="C63" s="272" t="s">
        <v>41</v>
      </c>
      <c r="D63" s="273" t="s">
        <v>47</v>
      </c>
      <c r="E63" s="273" t="s">
        <v>41</v>
      </c>
      <c r="F63" s="274" t="s">
        <v>272</v>
      </c>
      <c r="G63" s="42" t="s">
        <v>58</v>
      </c>
      <c r="H63" s="287">
        <f>'прил9 (ведом 22)'!M466</f>
        <v>3027.7</v>
      </c>
    </row>
    <row r="64" spans="1:8" ht="41.25" customHeight="1" x14ac:dyDescent="0.35">
      <c r="A64" s="461"/>
      <c r="B64" s="472" t="s">
        <v>78</v>
      </c>
      <c r="C64" s="272" t="s">
        <v>41</v>
      </c>
      <c r="D64" s="273" t="s">
        <v>47</v>
      </c>
      <c r="E64" s="273" t="s">
        <v>41</v>
      </c>
      <c r="F64" s="274" t="s">
        <v>272</v>
      </c>
      <c r="G64" s="42" t="s">
        <v>79</v>
      </c>
      <c r="H64" s="287">
        <f>'прил9 (ведом 22)'!M467</f>
        <v>372928</v>
      </c>
    </row>
    <row r="65" spans="1:8" ht="70.2" customHeight="1" x14ac:dyDescent="0.35">
      <c r="A65" s="461"/>
      <c r="B65" s="472" t="s">
        <v>211</v>
      </c>
      <c r="C65" s="653" t="s">
        <v>41</v>
      </c>
      <c r="D65" s="653" t="s">
        <v>47</v>
      </c>
      <c r="E65" s="653" t="s">
        <v>41</v>
      </c>
      <c r="F65" s="654" t="s">
        <v>277</v>
      </c>
      <c r="G65" s="312"/>
      <c r="H65" s="287">
        <f>SUM(H66:H67)</f>
        <v>2260.9</v>
      </c>
    </row>
    <row r="66" spans="1:8" ht="36" x14ac:dyDescent="0.35">
      <c r="A66" s="461"/>
      <c r="B66" s="285" t="s">
        <v>57</v>
      </c>
      <c r="C66" s="272" t="s">
        <v>41</v>
      </c>
      <c r="D66" s="273" t="s">
        <v>47</v>
      </c>
      <c r="E66" s="273" t="s">
        <v>41</v>
      </c>
      <c r="F66" s="274" t="s">
        <v>277</v>
      </c>
      <c r="G66" s="42" t="s">
        <v>58</v>
      </c>
      <c r="H66" s="287">
        <f>'прил9 (ведом 22)'!M469</f>
        <v>106.9</v>
      </c>
    </row>
    <row r="67" spans="1:8" ht="41.25" customHeight="1" x14ac:dyDescent="0.35">
      <c r="A67" s="461"/>
      <c r="B67" s="472" t="s">
        <v>78</v>
      </c>
      <c r="C67" s="653" t="s">
        <v>41</v>
      </c>
      <c r="D67" s="653" t="s">
        <v>47</v>
      </c>
      <c r="E67" s="653" t="s">
        <v>41</v>
      </c>
      <c r="F67" s="654" t="s">
        <v>277</v>
      </c>
      <c r="G67" s="312" t="s">
        <v>79</v>
      </c>
      <c r="H67" s="287">
        <f>'прил9 (ведом 22)'!M470</f>
        <v>2154</v>
      </c>
    </row>
    <row r="68" spans="1:8" ht="54" x14ac:dyDescent="0.35">
      <c r="A68" s="461"/>
      <c r="B68" s="31" t="s">
        <v>793</v>
      </c>
      <c r="C68" s="659" t="s">
        <v>41</v>
      </c>
      <c r="D68" s="660" t="s">
        <v>47</v>
      </c>
      <c r="E68" s="660" t="s">
        <v>41</v>
      </c>
      <c r="F68" s="661" t="s">
        <v>792</v>
      </c>
      <c r="G68" s="17"/>
      <c r="H68" s="287">
        <f>H69+H70</f>
        <v>3050</v>
      </c>
    </row>
    <row r="69" spans="1:8" ht="36" x14ac:dyDescent="0.35">
      <c r="A69" s="461"/>
      <c r="B69" s="31" t="s">
        <v>57</v>
      </c>
      <c r="C69" s="659" t="s">
        <v>41</v>
      </c>
      <c r="D69" s="660" t="s">
        <v>47</v>
      </c>
      <c r="E69" s="660" t="s">
        <v>41</v>
      </c>
      <c r="F69" s="661" t="s">
        <v>792</v>
      </c>
      <c r="G69" s="17" t="s">
        <v>58</v>
      </c>
      <c r="H69" s="287">
        <f>'прил9 (ведом 22)'!M472</f>
        <v>1100</v>
      </c>
    </row>
    <row r="70" spans="1:8" ht="36" x14ac:dyDescent="0.35">
      <c r="A70" s="461"/>
      <c r="B70" s="31" t="s">
        <v>78</v>
      </c>
      <c r="C70" s="659" t="s">
        <v>41</v>
      </c>
      <c r="D70" s="660" t="s">
        <v>47</v>
      </c>
      <c r="E70" s="660" t="s">
        <v>41</v>
      </c>
      <c r="F70" s="661" t="s">
        <v>792</v>
      </c>
      <c r="G70" s="17" t="s">
        <v>79</v>
      </c>
      <c r="H70" s="287">
        <f>'прил9 (ведом 22)'!M473</f>
        <v>1950</v>
      </c>
    </row>
    <row r="71" spans="1:8" ht="142.94999999999999" customHeight="1" x14ac:dyDescent="0.35">
      <c r="A71" s="461"/>
      <c r="B71" s="31" t="s">
        <v>723</v>
      </c>
      <c r="C71" s="659" t="s">
        <v>41</v>
      </c>
      <c r="D71" s="660" t="s">
        <v>47</v>
      </c>
      <c r="E71" s="660" t="s">
        <v>41</v>
      </c>
      <c r="F71" s="661" t="s">
        <v>722</v>
      </c>
      <c r="G71" s="312"/>
      <c r="H71" s="287">
        <f>H72+H73</f>
        <v>1196.0999999999999</v>
      </c>
    </row>
    <row r="72" spans="1:8" ht="41.25" customHeight="1" x14ac:dyDescent="0.35">
      <c r="A72" s="461"/>
      <c r="B72" s="31" t="s">
        <v>57</v>
      </c>
      <c r="C72" s="659" t="s">
        <v>41</v>
      </c>
      <c r="D72" s="660" t="s">
        <v>47</v>
      </c>
      <c r="E72" s="660" t="s">
        <v>41</v>
      </c>
      <c r="F72" s="661" t="s">
        <v>722</v>
      </c>
      <c r="G72" s="17" t="s">
        <v>58</v>
      </c>
      <c r="H72" s="287">
        <f>'прил9 (ведом 22)'!M475</f>
        <v>15</v>
      </c>
    </row>
    <row r="73" spans="1:8" ht="41.25" customHeight="1" x14ac:dyDescent="0.35">
      <c r="A73" s="461"/>
      <c r="B73" s="31" t="s">
        <v>78</v>
      </c>
      <c r="C73" s="659" t="s">
        <v>41</v>
      </c>
      <c r="D73" s="660" t="s">
        <v>47</v>
      </c>
      <c r="E73" s="660" t="s">
        <v>41</v>
      </c>
      <c r="F73" s="661" t="s">
        <v>722</v>
      </c>
      <c r="G73" s="17" t="s">
        <v>79</v>
      </c>
      <c r="H73" s="287">
        <f>'прил9 (ведом 22)'!M476</f>
        <v>1181.0999999999999</v>
      </c>
    </row>
    <row r="74" spans="1:8" ht="75" customHeight="1" x14ac:dyDescent="0.35">
      <c r="A74" s="461"/>
      <c r="B74" s="285" t="s">
        <v>530</v>
      </c>
      <c r="C74" s="272" t="s">
        <v>41</v>
      </c>
      <c r="D74" s="273" t="s">
        <v>47</v>
      </c>
      <c r="E74" s="273" t="s">
        <v>41</v>
      </c>
      <c r="F74" s="274" t="s">
        <v>529</v>
      </c>
      <c r="G74" s="42"/>
      <c r="H74" s="287">
        <f>H75+H76</f>
        <v>59054.899999999994</v>
      </c>
    </row>
    <row r="75" spans="1:8" ht="38.25" customHeight="1" x14ac:dyDescent="0.35">
      <c r="A75" s="461"/>
      <c r="B75" s="285" t="s">
        <v>57</v>
      </c>
      <c r="C75" s="272" t="s">
        <v>41</v>
      </c>
      <c r="D75" s="273" t="s">
        <v>47</v>
      </c>
      <c r="E75" s="273" t="s">
        <v>41</v>
      </c>
      <c r="F75" s="274" t="s">
        <v>529</v>
      </c>
      <c r="G75" s="42" t="s">
        <v>58</v>
      </c>
      <c r="H75" s="287">
        <f>'прил9 (ведом 22)'!M478</f>
        <v>1844</v>
      </c>
    </row>
    <row r="76" spans="1:8" ht="39" customHeight="1" x14ac:dyDescent="0.35">
      <c r="A76" s="461"/>
      <c r="B76" s="285" t="s">
        <v>78</v>
      </c>
      <c r="C76" s="272" t="s">
        <v>41</v>
      </c>
      <c r="D76" s="273" t="s">
        <v>47</v>
      </c>
      <c r="E76" s="273" t="s">
        <v>41</v>
      </c>
      <c r="F76" s="274" t="s">
        <v>529</v>
      </c>
      <c r="G76" s="42" t="s">
        <v>79</v>
      </c>
      <c r="H76" s="287">
        <f>'прил9 (ведом 22)'!M479</f>
        <v>57210.899999999994</v>
      </c>
    </row>
    <row r="77" spans="1:8" ht="72" x14ac:dyDescent="0.35">
      <c r="A77" s="461"/>
      <c r="B77" s="31" t="s">
        <v>720</v>
      </c>
      <c r="C77" s="659" t="s">
        <v>41</v>
      </c>
      <c r="D77" s="660" t="s">
        <v>47</v>
      </c>
      <c r="E77" s="660" t="s">
        <v>41</v>
      </c>
      <c r="F77" s="661" t="s">
        <v>719</v>
      </c>
      <c r="G77" s="42"/>
      <c r="H77" s="287">
        <f>H78+H79+H80</f>
        <v>12776.5</v>
      </c>
    </row>
    <row r="78" spans="1:8" ht="39" customHeight="1" x14ac:dyDescent="0.35">
      <c r="A78" s="461"/>
      <c r="B78" s="31" t="s">
        <v>57</v>
      </c>
      <c r="C78" s="659" t="s">
        <v>41</v>
      </c>
      <c r="D78" s="660" t="s">
        <v>47</v>
      </c>
      <c r="E78" s="660" t="s">
        <v>41</v>
      </c>
      <c r="F78" s="661" t="s">
        <v>719</v>
      </c>
      <c r="G78" s="17" t="s">
        <v>58</v>
      </c>
      <c r="H78" s="287">
        <f>'прил9 (ведом 22)'!M481</f>
        <v>81.7</v>
      </c>
    </row>
    <row r="79" spans="1:8" ht="18" x14ac:dyDescent="0.35">
      <c r="A79" s="461"/>
      <c r="B79" s="31" t="s">
        <v>122</v>
      </c>
      <c r="C79" s="659" t="s">
        <v>41</v>
      </c>
      <c r="D79" s="660" t="s">
        <v>47</v>
      </c>
      <c r="E79" s="660" t="s">
        <v>41</v>
      </c>
      <c r="F79" s="661" t="s">
        <v>719</v>
      </c>
      <c r="G79" s="17" t="s">
        <v>123</v>
      </c>
      <c r="H79" s="287">
        <f>'прил9 (ведом 22)'!M482</f>
        <v>65.2</v>
      </c>
    </row>
    <row r="80" spans="1:8" ht="36" x14ac:dyDescent="0.35">
      <c r="A80" s="461"/>
      <c r="B80" s="31" t="s">
        <v>78</v>
      </c>
      <c r="C80" s="659" t="s">
        <v>41</v>
      </c>
      <c r="D80" s="660" t="s">
        <v>47</v>
      </c>
      <c r="E80" s="660" t="s">
        <v>41</v>
      </c>
      <c r="F80" s="661" t="s">
        <v>719</v>
      </c>
      <c r="G80" s="17" t="s">
        <v>79</v>
      </c>
      <c r="H80" s="287">
        <f>'прил9 (ведом 22)'!M483</f>
        <v>12629.6</v>
      </c>
    </row>
    <row r="81" spans="1:8" ht="18" x14ac:dyDescent="0.35">
      <c r="A81" s="461"/>
      <c r="B81" s="472" t="s">
        <v>212</v>
      </c>
      <c r="C81" s="272" t="s">
        <v>41</v>
      </c>
      <c r="D81" s="273" t="s">
        <v>91</v>
      </c>
      <c r="E81" s="273" t="s">
        <v>45</v>
      </c>
      <c r="F81" s="274" t="s">
        <v>46</v>
      </c>
      <c r="G81" s="312"/>
      <c r="H81" s="287">
        <f>H82+H102</f>
        <v>65264.784999999996</v>
      </c>
    </row>
    <row r="82" spans="1:8" ht="36" x14ac:dyDescent="0.35">
      <c r="A82" s="461"/>
      <c r="B82" s="472" t="s">
        <v>278</v>
      </c>
      <c r="C82" s="272" t="s">
        <v>41</v>
      </c>
      <c r="D82" s="273" t="s">
        <v>91</v>
      </c>
      <c r="E82" s="273" t="s">
        <v>39</v>
      </c>
      <c r="F82" s="274" t="s">
        <v>46</v>
      </c>
      <c r="G82" s="312"/>
      <c r="H82" s="287">
        <f>H83+H96+H88+H98+H91+H93+H100</f>
        <v>65210.784999999996</v>
      </c>
    </row>
    <row r="83" spans="1:8" ht="36" x14ac:dyDescent="0.35">
      <c r="A83" s="461"/>
      <c r="B83" s="472" t="s">
        <v>540</v>
      </c>
      <c r="C83" s="272" t="s">
        <v>41</v>
      </c>
      <c r="D83" s="273" t="s">
        <v>91</v>
      </c>
      <c r="E83" s="273" t="s">
        <v>39</v>
      </c>
      <c r="F83" s="274" t="s">
        <v>93</v>
      </c>
      <c r="G83" s="42"/>
      <c r="H83" s="287">
        <f>SUM(H84:H87)</f>
        <v>47325.485000000001</v>
      </c>
    </row>
    <row r="84" spans="1:8" ht="90" x14ac:dyDescent="0.35">
      <c r="A84" s="461"/>
      <c r="B84" s="285" t="s">
        <v>51</v>
      </c>
      <c r="C84" s="272" t="s">
        <v>41</v>
      </c>
      <c r="D84" s="273" t="s">
        <v>91</v>
      </c>
      <c r="E84" s="273" t="s">
        <v>39</v>
      </c>
      <c r="F84" s="274" t="s">
        <v>93</v>
      </c>
      <c r="G84" s="42" t="s">
        <v>52</v>
      </c>
      <c r="H84" s="287">
        <f>'прил9 (ведом 22)'!M499</f>
        <v>20625.800000000003</v>
      </c>
    </row>
    <row r="85" spans="1:8" ht="36" x14ac:dyDescent="0.35">
      <c r="A85" s="461"/>
      <c r="B85" s="285" t="s">
        <v>57</v>
      </c>
      <c r="C85" s="272" t="s">
        <v>41</v>
      </c>
      <c r="D85" s="273" t="s">
        <v>91</v>
      </c>
      <c r="E85" s="273" t="s">
        <v>39</v>
      </c>
      <c r="F85" s="274" t="s">
        <v>93</v>
      </c>
      <c r="G85" s="42" t="s">
        <v>58</v>
      </c>
      <c r="H85" s="287">
        <f>'прил9 (ведом 22)'!M500</f>
        <v>2307.585</v>
      </c>
    </row>
    <row r="86" spans="1:8" ht="38.25" customHeight="1" x14ac:dyDescent="0.35">
      <c r="A86" s="461"/>
      <c r="B86" s="472" t="s">
        <v>78</v>
      </c>
      <c r="C86" s="272" t="s">
        <v>41</v>
      </c>
      <c r="D86" s="273" t="s">
        <v>91</v>
      </c>
      <c r="E86" s="273" t="s">
        <v>39</v>
      </c>
      <c r="F86" s="274" t="s">
        <v>93</v>
      </c>
      <c r="G86" s="42" t="s">
        <v>79</v>
      </c>
      <c r="H86" s="287">
        <f>'прил9 (ведом 22)'!M501</f>
        <v>24278.799999999999</v>
      </c>
    </row>
    <row r="87" spans="1:8" ht="18" x14ac:dyDescent="0.35">
      <c r="A87" s="461"/>
      <c r="B87" s="285" t="s">
        <v>59</v>
      </c>
      <c r="C87" s="272" t="s">
        <v>41</v>
      </c>
      <c r="D87" s="273" t="s">
        <v>91</v>
      </c>
      <c r="E87" s="273" t="s">
        <v>39</v>
      </c>
      <c r="F87" s="274" t="s">
        <v>93</v>
      </c>
      <c r="G87" s="42" t="s">
        <v>60</v>
      </c>
      <c r="H87" s="287">
        <f>'прил9 (ведом 22)'!M502</f>
        <v>113.3</v>
      </c>
    </row>
    <row r="88" spans="1:8" ht="44.25" customHeight="1" x14ac:dyDescent="0.35">
      <c r="A88" s="461"/>
      <c r="B88" s="285" t="s">
        <v>209</v>
      </c>
      <c r="C88" s="272" t="s">
        <v>41</v>
      </c>
      <c r="D88" s="273" t="s">
        <v>91</v>
      </c>
      <c r="E88" s="273" t="s">
        <v>39</v>
      </c>
      <c r="F88" s="274" t="s">
        <v>275</v>
      </c>
      <c r="G88" s="42"/>
      <c r="H88" s="287">
        <f>SUM(H89:H90)</f>
        <v>1535</v>
      </c>
    </row>
    <row r="89" spans="1:8" ht="36" x14ac:dyDescent="0.35">
      <c r="A89" s="461"/>
      <c r="B89" s="285" t="s">
        <v>57</v>
      </c>
      <c r="C89" s="272" t="s">
        <v>41</v>
      </c>
      <c r="D89" s="273" t="s">
        <v>91</v>
      </c>
      <c r="E89" s="273" t="s">
        <v>39</v>
      </c>
      <c r="F89" s="274" t="s">
        <v>275</v>
      </c>
      <c r="G89" s="42" t="s">
        <v>58</v>
      </c>
      <c r="H89" s="287">
        <f>'прил9 (ведом 22)'!M504</f>
        <v>676.5</v>
      </c>
    </row>
    <row r="90" spans="1:8" ht="42" customHeight="1" x14ac:dyDescent="0.35">
      <c r="A90" s="461"/>
      <c r="B90" s="479" t="s">
        <v>78</v>
      </c>
      <c r="C90" s="272" t="s">
        <v>41</v>
      </c>
      <c r="D90" s="273" t="s">
        <v>91</v>
      </c>
      <c r="E90" s="273" t="s">
        <v>39</v>
      </c>
      <c r="F90" s="274" t="s">
        <v>275</v>
      </c>
      <c r="G90" s="42" t="s">
        <v>79</v>
      </c>
      <c r="H90" s="287">
        <f>'прил9 (ведом 22)'!M505</f>
        <v>858.5</v>
      </c>
    </row>
    <row r="91" spans="1:8" ht="42" customHeight="1" x14ac:dyDescent="0.35">
      <c r="A91" s="461"/>
      <c r="B91" s="285" t="s">
        <v>210</v>
      </c>
      <c r="C91" s="272" t="s">
        <v>41</v>
      </c>
      <c r="D91" s="273" t="s">
        <v>91</v>
      </c>
      <c r="E91" s="273" t="s">
        <v>39</v>
      </c>
      <c r="F91" s="274" t="s">
        <v>276</v>
      </c>
      <c r="G91" s="42"/>
      <c r="H91" s="287">
        <f>H92</f>
        <v>17</v>
      </c>
    </row>
    <row r="92" spans="1:8" ht="42" customHeight="1" x14ac:dyDescent="0.35">
      <c r="A92" s="461"/>
      <c r="B92" s="479" t="s">
        <v>78</v>
      </c>
      <c r="C92" s="272" t="s">
        <v>41</v>
      </c>
      <c r="D92" s="273" t="s">
        <v>91</v>
      </c>
      <c r="E92" s="273" t="s">
        <v>39</v>
      </c>
      <c r="F92" s="274" t="s">
        <v>276</v>
      </c>
      <c r="G92" s="42" t="s">
        <v>79</v>
      </c>
      <c r="H92" s="287">
        <f>'прил9 (ведом 22)'!M507</f>
        <v>17</v>
      </c>
    </row>
    <row r="93" spans="1:8" ht="56.4" customHeight="1" x14ac:dyDescent="0.35">
      <c r="A93" s="461"/>
      <c r="B93" s="479" t="s">
        <v>697</v>
      </c>
      <c r="C93" s="272" t="s">
        <v>41</v>
      </c>
      <c r="D93" s="273" t="s">
        <v>91</v>
      </c>
      <c r="E93" s="273" t="s">
        <v>39</v>
      </c>
      <c r="F93" s="274" t="s">
        <v>696</v>
      </c>
      <c r="G93" s="42"/>
      <c r="H93" s="287">
        <f>H94+H95</f>
        <v>4940.4000000000005</v>
      </c>
    </row>
    <row r="94" spans="1:8" ht="42" customHeight="1" x14ac:dyDescent="0.35">
      <c r="A94" s="461"/>
      <c r="B94" s="479" t="s">
        <v>78</v>
      </c>
      <c r="C94" s="272" t="s">
        <v>41</v>
      </c>
      <c r="D94" s="273" t="s">
        <v>91</v>
      </c>
      <c r="E94" s="273" t="s">
        <v>39</v>
      </c>
      <c r="F94" s="274" t="s">
        <v>696</v>
      </c>
      <c r="G94" s="42" t="s">
        <v>79</v>
      </c>
      <c r="H94" s="287">
        <f>'прил9 (ведом 22)'!M509</f>
        <v>4829.1000000000004</v>
      </c>
    </row>
    <row r="95" spans="1:8" ht="18" x14ac:dyDescent="0.35">
      <c r="A95" s="461"/>
      <c r="B95" s="285" t="s">
        <v>59</v>
      </c>
      <c r="C95" s="272" t="s">
        <v>41</v>
      </c>
      <c r="D95" s="273" t="s">
        <v>91</v>
      </c>
      <c r="E95" s="273" t="s">
        <v>39</v>
      </c>
      <c r="F95" s="274" t="s">
        <v>696</v>
      </c>
      <c r="G95" s="42" t="s">
        <v>60</v>
      </c>
      <c r="H95" s="287">
        <f>'прил9 (ведом 22)'!M510</f>
        <v>111.3</v>
      </c>
    </row>
    <row r="96" spans="1:8" ht="162" x14ac:dyDescent="0.35">
      <c r="A96" s="461"/>
      <c r="B96" s="472" t="s">
        <v>270</v>
      </c>
      <c r="C96" s="272" t="s">
        <v>41</v>
      </c>
      <c r="D96" s="273" t="s">
        <v>91</v>
      </c>
      <c r="E96" s="273" t="s">
        <v>39</v>
      </c>
      <c r="F96" s="274" t="s">
        <v>271</v>
      </c>
      <c r="G96" s="42"/>
      <c r="H96" s="287">
        <f>H97</f>
        <v>106.1</v>
      </c>
    </row>
    <row r="97" spans="1:8" ht="36" x14ac:dyDescent="0.35">
      <c r="A97" s="461"/>
      <c r="B97" s="285" t="s">
        <v>78</v>
      </c>
      <c r="C97" s="272" t="s">
        <v>41</v>
      </c>
      <c r="D97" s="273" t="s">
        <v>91</v>
      </c>
      <c r="E97" s="273" t="s">
        <v>39</v>
      </c>
      <c r="F97" s="274" t="s">
        <v>271</v>
      </c>
      <c r="G97" s="42" t="s">
        <v>79</v>
      </c>
      <c r="H97" s="287">
        <f>'прил9 (ведом 22)'!M512</f>
        <v>106.1</v>
      </c>
    </row>
    <row r="98" spans="1:8" ht="88.2" customHeight="1" x14ac:dyDescent="0.35">
      <c r="A98" s="461"/>
      <c r="B98" s="285" t="s">
        <v>354</v>
      </c>
      <c r="C98" s="272" t="s">
        <v>41</v>
      </c>
      <c r="D98" s="273" t="s">
        <v>91</v>
      </c>
      <c r="E98" s="273" t="s">
        <v>39</v>
      </c>
      <c r="F98" s="274" t="s">
        <v>272</v>
      </c>
      <c r="G98" s="42"/>
      <c r="H98" s="287">
        <f>H99</f>
        <v>10086.799999999999</v>
      </c>
    </row>
    <row r="99" spans="1:8" ht="34.950000000000003" customHeight="1" x14ac:dyDescent="0.35">
      <c r="A99" s="461"/>
      <c r="B99" s="285" t="s">
        <v>78</v>
      </c>
      <c r="C99" s="272" t="s">
        <v>41</v>
      </c>
      <c r="D99" s="273" t="s">
        <v>91</v>
      </c>
      <c r="E99" s="273" t="s">
        <v>39</v>
      </c>
      <c r="F99" s="274" t="s">
        <v>272</v>
      </c>
      <c r="G99" s="42" t="s">
        <v>79</v>
      </c>
      <c r="H99" s="287">
        <f>'прил9 (ведом 22)'!M514</f>
        <v>10086.799999999999</v>
      </c>
    </row>
    <row r="100" spans="1:8" ht="34.950000000000003" customHeight="1" x14ac:dyDescent="0.35">
      <c r="A100" s="461"/>
      <c r="B100" s="31" t="s">
        <v>793</v>
      </c>
      <c r="C100" s="659" t="s">
        <v>41</v>
      </c>
      <c r="D100" s="660" t="s">
        <v>91</v>
      </c>
      <c r="E100" s="660" t="s">
        <v>39</v>
      </c>
      <c r="F100" s="661" t="s">
        <v>792</v>
      </c>
      <c r="G100" s="17"/>
      <c r="H100" s="287">
        <f>H101</f>
        <v>1200</v>
      </c>
    </row>
    <row r="101" spans="1:8" ht="34.950000000000003" customHeight="1" x14ac:dyDescent="0.35">
      <c r="A101" s="461"/>
      <c r="B101" s="31" t="s">
        <v>78</v>
      </c>
      <c r="C101" s="659" t="s">
        <v>41</v>
      </c>
      <c r="D101" s="660" t="s">
        <v>91</v>
      </c>
      <c r="E101" s="660" t="s">
        <v>39</v>
      </c>
      <c r="F101" s="661" t="s">
        <v>792</v>
      </c>
      <c r="G101" s="17" t="s">
        <v>79</v>
      </c>
      <c r="H101" s="287">
        <f>'прил9 (ведом 22)'!M516</f>
        <v>1200</v>
      </c>
    </row>
    <row r="102" spans="1:8" ht="18" x14ac:dyDescent="0.35">
      <c r="A102" s="461"/>
      <c r="B102" s="285" t="s">
        <v>279</v>
      </c>
      <c r="C102" s="272" t="s">
        <v>41</v>
      </c>
      <c r="D102" s="273" t="s">
        <v>91</v>
      </c>
      <c r="E102" s="273" t="s">
        <v>41</v>
      </c>
      <c r="F102" s="274" t="s">
        <v>46</v>
      </c>
      <c r="G102" s="42"/>
      <c r="H102" s="287">
        <f>H103</f>
        <v>54</v>
      </c>
    </row>
    <row r="103" spans="1:8" ht="36" x14ac:dyDescent="0.35">
      <c r="A103" s="461"/>
      <c r="B103" s="285" t="s">
        <v>280</v>
      </c>
      <c r="C103" s="272" t="s">
        <v>41</v>
      </c>
      <c r="D103" s="273" t="s">
        <v>91</v>
      </c>
      <c r="E103" s="273" t="s">
        <v>41</v>
      </c>
      <c r="F103" s="274" t="s">
        <v>281</v>
      </c>
      <c r="G103" s="42"/>
      <c r="H103" s="287">
        <f>H104</f>
        <v>54</v>
      </c>
    </row>
    <row r="104" spans="1:8" ht="20.25" customHeight="1" x14ac:dyDescent="0.35">
      <c r="A104" s="461"/>
      <c r="B104" s="285" t="s">
        <v>122</v>
      </c>
      <c r="C104" s="272" t="s">
        <v>41</v>
      </c>
      <c r="D104" s="273" t="s">
        <v>91</v>
      </c>
      <c r="E104" s="273" t="s">
        <v>41</v>
      </c>
      <c r="F104" s="274" t="s">
        <v>281</v>
      </c>
      <c r="G104" s="42" t="s">
        <v>123</v>
      </c>
      <c r="H104" s="287">
        <f>'прил9 (ведом 22)'!M530</f>
        <v>54</v>
      </c>
    </row>
    <row r="105" spans="1:8" ht="43.5" customHeight="1" x14ac:dyDescent="0.35">
      <c r="A105" s="461"/>
      <c r="B105" s="472" t="s">
        <v>214</v>
      </c>
      <c r="C105" s="272" t="s">
        <v>41</v>
      </c>
      <c r="D105" s="273" t="s">
        <v>32</v>
      </c>
      <c r="E105" s="273" t="s">
        <v>45</v>
      </c>
      <c r="F105" s="274" t="s">
        <v>46</v>
      </c>
      <c r="G105" s="312"/>
      <c r="H105" s="287">
        <f>H106+H124+H129+H132+H135</f>
        <v>80362.266999999993</v>
      </c>
    </row>
    <row r="106" spans="1:8" ht="36" x14ac:dyDescent="0.35">
      <c r="A106" s="461"/>
      <c r="B106" s="472" t="s">
        <v>284</v>
      </c>
      <c r="C106" s="272" t="s">
        <v>41</v>
      </c>
      <c r="D106" s="273" t="s">
        <v>32</v>
      </c>
      <c r="E106" s="273" t="s">
        <v>39</v>
      </c>
      <c r="F106" s="274" t="s">
        <v>46</v>
      </c>
      <c r="G106" s="312"/>
      <c r="H106" s="287">
        <f>H107+H116+H111+H122+H120+H118</f>
        <v>74662.46699999999</v>
      </c>
    </row>
    <row r="107" spans="1:8" ht="36" x14ac:dyDescent="0.35">
      <c r="A107" s="461"/>
      <c r="B107" s="472" t="s">
        <v>49</v>
      </c>
      <c r="C107" s="272" t="s">
        <v>41</v>
      </c>
      <c r="D107" s="273" t="s">
        <v>32</v>
      </c>
      <c r="E107" s="273" t="s">
        <v>39</v>
      </c>
      <c r="F107" s="274" t="s">
        <v>50</v>
      </c>
      <c r="G107" s="42"/>
      <c r="H107" s="287">
        <f>SUM(H108:H110)</f>
        <v>11700.627999999999</v>
      </c>
    </row>
    <row r="108" spans="1:8" ht="90" x14ac:dyDescent="0.35">
      <c r="A108" s="461"/>
      <c r="B108" s="472" t="s">
        <v>51</v>
      </c>
      <c r="C108" s="272" t="s">
        <v>41</v>
      </c>
      <c r="D108" s="273" t="s">
        <v>32</v>
      </c>
      <c r="E108" s="273" t="s">
        <v>39</v>
      </c>
      <c r="F108" s="274" t="s">
        <v>50</v>
      </c>
      <c r="G108" s="42" t="s">
        <v>52</v>
      </c>
      <c r="H108" s="287">
        <f>'прил9 (ведом 22)'!M534</f>
        <v>10911.199999999999</v>
      </c>
    </row>
    <row r="109" spans="1:8" ht="36" x14ac:dyDescent="0.35">
      <c r="A109" s="461"/>
      <c r="B109" s="472" t="s">
        <v>57</v>
      </c>
      <c r="C109" s="272" t="s">
        <v>41</v>
      </c>
      <c r="D109" s="273" t="s">
        <v>32</v>
      </c>
      <c r="E109" s="273" t="s">
        <v>39</v>
      </c>
      <c r="F109" s="274" t="s">
        <v>50</v>
      </c>
      <c r="G109" s="42" t="s">
        <v>58</v>
      </c>
      <c r="H109" s="287">
        <f>'прил9 (ведом 22)'!M535</f>
        <v>772.428</v>
      </c>
    </row>
    <row r="110" spans="1:8" ht="18" x14ac:dyDescent="0.35">
      <c r="A110" s="461"/>
      <c r="B110" s="472" t="s">
        <v>59</v>
      </c>
      <c r="C110" s="272" t="s">
        <v>41</v>
      </c>
      <c r="D110" s="273" t="s">
        <v>32</v>
      </c>
      <c r="E110" s="273" t="s">
        <v>39</v>
      </c>
      <c r="F110" s="274" t="s">
        <v>50</v>
      </c>
      <c r="G110" s="42" t="s">
        <v>60</v>
      </c>
      <c r="H110" s="287">
        <f>'прил9 (ведом 22)'!M536</f>
        <v>17</v>
      </c>
    </row>
    <row r="111" spans="1:8" ht="36" x14ac:dyDescent="0.35">
      <c r="A111" s="461"/>
      <c r="B111" s="472" t="s">
        <v>540</v>
      </c>
      <c r="C111" s="272" t="s">
        <v>41</v>
      </c>
      <c r="D111" s="273" t="s">
        <v>32</v>
      </c>
      <c r="E111" s="273" t="s">
        <v>39</v>
      </c>
      <c r="F111" s="274" t="s">
        <v>93</v>
      </c>
      <c r="G111" s="42"/>
      <c r="H111" s="287">
        <f>SUM(H112:H115)</f>
        <v>53136.238999999994</v>
      </c>
    </row>
    <row r="112" spans="1:8" ht="90" x14ac:dyDescent="0.35">
      <c r="A112" s="461"/>
      <c r="B112" s="472" t="s">
        <v>51</v>
      </c>
      <c r="C112" s="272" t="s">
        <v>41</v>
      </c>
      <c r="D112" s="273" t="s">
        <v>32</v>
      </c>
      <c r="E112" s="273" t="s">
        <v>39</v>
      </c>
      <c r="F112" s="274" t="s">
        <v>93</v>
      </c>
      <c r="G112" s="42" t="s">
        <v>52</v>
      </c>
      <c r="H112" s="287">
        <f>'прил9 (ведом 22)'!M538</f>
        <v>30767.600000000002</v>
      </c>
    </row>
    <row r="113" spans="1:8" ht="36" x14ac:dyDescent="0.35">
      <c r="A113" s="461"/>
      <c r="B113" s="472" t="s">
        <v>57</v>
      </c>
      <c r="C113" s="272" t="s">
        <v>41</v>
      </c>
      <c r="D113" s="273" t="s">
        <v>32</v>
      </c>
      <c r="E113" s="273" t="s">
        <v>39</v>
      </c>
      <c r="F113" s="274" t="s">
        <v>93</v>
      </c>
      <c r="G113" s="42" t="s">
        <v>58</v>
      </c>
      <c r="H113" s="287">
        <f>'прил9 (ведом 22)'!M539</f>
        <v>3063.3389999999999</v>
      </c>
    </row>
    <row r="114" spans="1:8" ht="34.200000000000003" customHeight="1" x14ac:dyDescent="0.35">
      <c r="A114" s="461"/>
      <c r="B114" s="285" t="s">
        <v>78</v>
      </c>
      <c r="C114" s="272" t="s">
        <v>41</v>
      </c>
      <c r="D114" s="273" t="s">
        <v>32</v>
      </c>
      <c r="E114" s="273" t="s">
        <v>39</v>
      </c>
      <c r="F114" s="274" t="s">
        <v>93</v>
      </c>
      <c r="G114" s="42" t="s">
        <v>79</v>
      </c>
      <c r="H114" s="287">
        <f>'прил9 (ведом 22)'!M540</f>
        <v>19299.099999999999</v>
      </c>
    </row>
    <row r="115" spans="1:8" ht="18" x14ac:dyDescent="0.35">
      <c r="A115" s="461"/>
      <c r="B115" s="472" t="s">
        <v>59</v>
      </c>
      <c r="C115" s="272" t="s">
        <v>41</v>
      </c>
      <c r="D115" s="273" t="s">
        <v>32</v>
      </c>
      <c r="E115" s="273" t="s">
        <v>39</v>
      </c>
      <c r="F115" s="274" t="s">
        <v>93</v>
      </c>
      <c r="G115" s="42" t="s">
        <v>60</v>
      </c>
      <c r="H115" s="287">
        <f>'прил9 (ведом 22)'!M541</f>
        <v>6.2</v>
      </c>
    </row>
    <row r="116" spans="1:8" ht="18" x14ac:dyDescent="0.35">
      <c r="A116" s="461"/>
      <c r="B116" s="285" t="s">
        <v>541</v>
      </c>
      <c r="C116" s="272" t="s">
        <v>41</v>
      </c>
      <c r="D116" s="273" t="s">
        <v>32</v>
      </c>
      <c r="E116" s="273" t="s">
        <v>39</v>
      </c>
      <c r="F116" s="274" t="s">
        <v>399</v>
      </c>
      <c r="G116" s="42"/>
      <c r="H116" s="287">
        <f>H117</f>
        <v>550.9</v>
      </c>
    </row>
    <row r="117" spans="1:8" ht="36" x14ac:dyDescent="0.35">
      <c r="A117" s="461"/>
      <c r="B117" s="285" t="s">
        <v>57</v>
      </c>
      <c r="C117" s="272" t="s">
        <v>41</v>
      </c>
      <c r="D117" s="273" t="s">
        <v>32</v>
      </c>
      <c r="E117" s="273" t="s">
        <v>39</v>
      </c>
      <c r="F117" s="274" t="s">
        <v>399</v>
      </c>
      <c r="G117" s="42" t="s">
        <v>58</v>
      </c>
      <c r="H117" s="287">
        <f>'прил9 (ведом 22)'!M543</f>
        <v>550.9</v>
      </c>
    </row>
    <row r="118" spans="1:8" ht="36" x14ac:dyDescent="0.35">
      <c r="A118" s="461"/>
      <c r="B118" s="285" t="s">
        <v>210</v>
      </c>
      <c r="C118" s="272" t="s">
        <v>41</v>
      </c>
      <c r="D118" s="273" t="s">
        <v>32</v>
      </c>
      <c r="E118" s="273" t="s">
        <v>39</v>
      </c>
      <c r="F118" s="274" t="s">
        <v>276</v>
      </c>
      <c r="G118" s="42"/>
      <c r="H118" s="287">
        <f>H119</f>
        <v>10</v>
      </c>
    </row>
    <row r="119" spans="1:8" ht="36" x14ac:dyDescent="0.35">
      <c r="A119" s="461"/>
      <c r="B119" s="285" t="s">
        <v>57</v>
      </c>
      <c r="C119" s="272" t="s">
        <v>41</v>
      </c>
      <c r="D119" s="273" t="s">
        <v>32</v>
      </c>
      <c r="E119" s="273" t="s">
        <v>39</v>
      </c>
      <c r="F119" s="274" t="s">
        <v>276</v>
      </c>
      <c r="G119" s="42" t="s">
        <v>58</v>
      </c>
      <c r="H119" s="287">
        <f>'прил9 (ведом 22)'!M545</f>
        <v>10</v>
      </c>
    </row>
    <row r="120" spans="1:8" ht="87.6" customHeight="1" x14ac:dyDescent="0.35">
      <c r="A120" s="461"/>
      <c r="B120" s="285" t="s">
        <v>354</v>
      </c>
      <c r="C120" s="272" t="s">
        <v>41</v>
      </c>
      <c r="D120" s="273" t="s">
        <v>32</v>
      </c>
      <c r="E120" s="273" t="s">
        <v>39</v>
      </c>
      <c r="F120" s="274" t="s">
        <v>272</v>
      </c>
      <c r="G120" s="42"/>
      <c r="H120" s="287">
        <f>H121</f>
        <v>6189.9</v>
      </c>
    </row>
    <row r="121" spans="1:8" ht="90" x14ac:dyDescent="0.35">
      <c r="A121" s="461"/>
      <c r="B121" s="285" t="s">
        <v>51</v>
      </c>
      <c r="C121" s="272" t="s">
        <v>41</v>
      </c>
      <c r="D121" s="273" t="s">
        <v>32</v>
      </c>
      <c r="E121" s="273" t="s">
        <v>39</v>
      </c>
      <c r="F121" s="274" t="s">
        <v>272</v>
      </c>
      <c r="G121" s="42" t="s">
        <v>52</v>
      </c>
      <c r="H121" s="287">
        <f>'прил9 (ведом 22)'!M547</f>
        <v>6189.9</v>
      </c>
    </row>
    <row r="122" spans="1:8" ht="216" x14ac:dyDescent="0.35">
      <c r="A122" s="461"/>
      <c r="B122" s="285" t="s">
        <v>502</v>
      </c>
      <c r="C122" s="272" t="s">
        <v>41</v>
      </c>
      <c r="D122" s="273" t="s">
        <v>32</v>
      </c>
      <c r="E122" s="273" t="s">
        <v>39</v>
      </c>
      <c r="F122" s="274" t="s">
        <v>355</v>
      </c>
      <c r="G122" s="42"/>
      <c r="H122" s="287">
        <f>SUM(H123:H123)</f>
        <v>3074.8</v>
      </c>
    </row>
    <row r="123" spans="1:8" ht="42.75" customHeight="1" x14ac:dyDescent="0.35">
      <c r="A123" s="461"/>
      <c r="B123" s="472" t="s">
        <v>78</v>
      </c>
      <c r="C123" s="272" t="s">
        <v>41</v>
      </c>
      <c r="D123" s="273" t="s">
        <v>32</v>
      </c>
      <c r="E123" s="273" t="s">
        <v>39</v>
      </c>
      <c r="F123" s="274" t="s">
        <v>355</v>
      </c>
      <c r="G123" s="42" t="s">
        <v>79</v>
      </c>
      <c r="H123" s="287">
        <f>'прил9 (ведом 22)'!M487</f>
        <v>3074.8</v>
      </c>
    </row>
    <row r="124" spans="1:8" ht="42.75" customHeight="1" x14ac:dyDescent="0.35">
      <c r="A124" s="461"/>
      <c r="B124" s="285" t="s">
        <v>283</v>
      </c>
      <c r="C124" s="272" t="s">
        <v>41</v>
      </c>
      <c r="D124" s="273" t="s">
        <v>32</v>
      </c>
      <c r="E124" s="273" t="s">
        <v>41</v>
      </c>
      <c r="F124" s="274" t="s">
        <v>46</v>
      </c>
      <c r="G124" s="42"/>
      <c r="H124" s="287">
        <f>H125+H127</f>
        <v>5396.0999999999995</v>
      </c>
    </row>
    <row r="125" spans="1:8" ht="42.75" customHeight="1" x14ac:dyDescent="0.35">
      <c r="A125" s="461"/>
      <c r="B125" s="285" t="s">
        <v>553</v>
      </c>
      <c r="C125" s="272" t="s">
        <v>41</v>
      </c>
      <c r="D125" s="273" t="s">
        <v>32</v>
      </c>
      <c r="E125" s="273" t="s">
        <v>41</v>
      </c>
      <c r="F125" s="274" t="s">
        <v>552</v>
      </c>
      <c r="G125" s="42"/>
      <c r="H125" s="287">
        <f>H126</f>
        <v>1258.8</v>
      </c>
    </row>
    <row r="126" spans="1:8" ht="39.6" customHeight="1" x14ac:dyDescent="0.35">
      <c r="A126" s="461"/>
      <c r="B126" s="285" t="s">
        <v>78</v>
      </c>
      <c r="C126" s="272" t="s">
        <v>41</v>
      </c>
      <c r="D126" s="273" t="s">
        <v>32</v>
      </c>
      <c r="E126" s="273" t="s">
        <v>41</v>
      </c>
      <c r="F126" s="274" t="s">
        <v>552</v>
      </c>
      <c r="G126" s="42" t="s">
        <v>79</v>
      </c>
      <c r="H126" s="287">
        <f>'прил9 (ведом 22)'!M522</f>
        <v>1258.8</v>
      </c>
    </row>
    <row r="127" spans="1:8" ht="113.25" customHeight="1" x14ac:dyDescent="0.35">
      <c r="A127" s="461"/>
      <c r="B127" s="285" t="s">
        <v>508</v>
      </c>
      <c r="C127" s="272" t="s">
        <v>41</v>
      </c>
      <c r="D127" s="273" t="s">
        <v>32</v>
      </c>
      <c r="E127" s="273" t="s">
        <v>41</v>
      </c>
      <c r="F127" s="274" t="s">
        <v>507</v>
      </c>
      <c r="G127" s="42"/>
      <c r="H127" s="287">
        <f>H128</f>
        <v>4137.2999999999993</v>
      </c>
    </row>
    <row r="128" spans="1:8" ht="34.5" customHeight="1" x14ac:dyDescent="0.35">
      <c r="A128" s="461"/>
      <c r="B128" s="285" t="s">
        <v>78</v>
      </c>
      <c r="C128" s="272" t="s">
        <v>41</v>
      </c>
      <c r="D128" s="273" t="s">
        <v>32</v>
      </c>
      <c r="E128" s="273" t="s">
        <v>41</v>
      </c>
      <c r="F128" s="274" t="s">
        <v>507</v>
      </c>
      <c r="G128" s="42" t="s">
        <v>79</v>
      </c>
      <c r="H128" s="287">
        <f>'прил9 (ведом 22)'!M524</f>
        <v>4137.2999999999993</v>
      </c>
    </row>
    <row r="129" spans="1:8" ht="39" customHeight="1" x14ac:dyDescent="0.35">
      <c r="A129" s="461"/>
      <c r="B129" s="311" t="s">
        <v>360</v>
      </c>
      <c r="C129" s="652" t="s">
        <v>41</v>
      </c>
      <c r="D129" s="653" t="s">
        <v>32</v>
      </c>
      <c r="E129" s="653" t="s">
        <v>65</v>
      </c>
      <c r="F129" s="654" t="s">
        <v>46</v>
      </c>
      <c r="G129" s="312"/>
      <c r="H129" s="287">
        <f>H130</f>
        <v>173.9</v>
      </c>
    </row>
    <row r="130" spans="1:8" ht="51" customHeight="1" x14ac:dyDescent="0.35">
      <c r="A130" s="461"/>
      <c r="B130" s="311" t="s">
        <v>555</v>
      </c>
      <c r="C130" s="652" t="s">
        <v>41</v>
      </c>
      <c r="D130" s="653" t="s">
        <v>32</v>
      </c>
      <c r="E130" s="653" t="s">
        <v>65</v>
      </c>
      <c r="F130" s="654" t="s">
        <v>107</v>
      </c>
      <c r="G130" s="312"/>
      <c r="H130" s="287">
        <f>H131</f>
        <v>173.9</v>
      </c>
    </row>
    <row r="131" spans="1:8" ht="36" customHeight="1" x14ac:dyDescent="0.35">
      <c r="A131" s="461"/>
      <c r="B131" s="311" t="s">
        <v>57</v>
      </c>
      <c r="C131" s="652" t="s">
        <v>41</v>
      </c>
      <c r="D131" s="653" t="s">
        <v>32</v>
      </c>
      <c r="E131" s="653" t="s">
        <v>65</v>
      </c>
      <c r="F131" s="654" t="s">
        <v>107</v>
      </c>
      <c r="G131" s="312" t="s">
        <v>58</v>
      </c>
      <c r="H131" s="287">
        <f>'прил9 (ведом 22)'!M402</f>
        <v>173.9</v>
      </c>
    </row>
    <row r="132" spans="1:8" ht="34.5" customHeight="1" x14ac:dyDescent="0.35">
      <c r="A132" s="461"/>
      <c r="B132" s="311" t="s">
        <v>544</v>
      </c>
      <c r="C132" s="652" t="s">
        <v>41</v>
      </c>
      <c r="D132" s="653" t="s">
        <v>32</v>
      </c>
      <c r="E132" s="653" t="s">
        <v>54</v>
      </c>
      <c r="F132" s="654" t="s">
        <v>46</v>
      </c>
      <c r="G132" s="312"/>
      <c r="H132" s="287">
        <f>H133</f>
        <v>24</v>
      </c>
    </row>
    <row r="133" spans="1:8" ht="15.75" customHeight="1" x14ac:dyDescent="0.35">
      <c r="A133" s="461"/>
      <c r="B133" s="311" t="s">
        <v>556</v>
      </c>
      <c r="C133" s="652" t="s">
        <v>41</v>
      </c>
      <c r="D133" s="653" t="s">
        <v>32</v>
      </c>
      <c r="E133" s="653" t="s">
        <v>54</v>
      </c>
      <c r="F133" s="654" t="s">
        <v>543</v>
      </c>
      <c r="G133" s="312"/>
      <c r="H133" s="287">
        <f>H134</f>
        <v>24</v>
      </c>
    </row>
    <row r="134" spans="1:8" ht="34.5" customHeight="1" x14ac:dyDescent="0.35">
      <c r="A134" s="461"/>
      <c r="B134" s="311" t="s">
        <v>57</v>
      </c>
      <c r="C134" s="652" t="s">
        <v>41</v>
      </c>
      <c r="D134" s="653" t="s">
        <v>32</v>
      </c>
      <c r="E134" s="653" t="s">
        <v>54</v>
      </c>
      <c r="F134" s="654" t="s">
        <v>543</v>
      </c>
      <c r="G134" s="312" t="s">
        <v>58</v>
      </c>
      <c r="H134" s="287">
        <f>'прил9 (ведом 22)'!M405</f>
        <v>24</v>
      </c>
    </row>
    <row r="135" spans="1:8" ht="36.75" customHeight="1" x14ac:dyDescent="0.35">
      <c r="A135" s="461"/>
      <c r="B135" s="311" t="s">
        <v>554</v>
      </c>
      <c r="C135" s="652" t="s">
        <v>41</v>
      </c>
      <c r="D135" s="653" t="s">
        <v>32</v>
      </c>
      <c r="E135" s="653" t="s">
        <v>67</v>
      </c>
      <c r="F135" s="654" t="s">
        <v>46</v>
      </c>
      <c r="G135" s="312"/>
      <c r="H135" s="287">
        <f>H136</f>
        <v>105.8</v>
      </c>
    </row>
    <row r="136" spans="1:8" ht="33" customHeight="1" x14ac:dyDescent="0.35">
      <c r="A136" s="461"/>
      <c r="B136" s="311" t="s">
        <v>129</v>
      </c>
      <c r="C136" s="652" t="s">
        <v>41</v>
      </c>
      <c r="D136" s="653" t="s">
        <v>32</v>
      </c>
      <c r="E136" s="653" t="s">
        <v>67</v>
      </c>
      <c r="F136" s="654" t="s">
        <v>92</v>
      </c>
      <c r="G136" s="312"/>
      <c r="H136" s="287">
        <f>H137</f>
        <v>105.8</v>
      </c>
    </row>
    <row r="137" spans="1:8" ht="33.75" customHeight="1" x14ac:dyDescent="0.35">
      <c r="A137" s="461"/>
      <c r="B137" s="311" t="s">
        <v>57</v>
      </c>
      <c r="C137" s="652" t="s">
        <v>41</v>
      </c>
      <c r="D137" s="653" t="s">
        <v>32</v>
      </c>
      <c r="E137" s="653" t="s">
        <v>67</v>
      </c>
      <c r="F137" s="654" t="s">
        <v>92</v>
      </c>
      <c r="G137" s="312" t="s">
        <v>58</v>
      </c>
      <c r="H137" s="287">
        <f>'прил9 (ведом 22)'!M408</f>
        <v>105.8</v>
      </c>
    </row>
    <row r="138" spans="1:8" ht="16.95" customHeight="1" x14ac:dyDescent="0.35">
      <c r="A138" s="461"/>
      <c r="B138" s="480"/>
      <c r="C138" s="652"/>
      <c r="D138" s="653"/>
      <c r="E138" s="653"/>
      <c r="F138" s="654"/>
      <c r="G138" s="312"/>
      <c r="H138" s="287"/>
    </row>
    <row r="139" spans="1:8" s="471" customFormat="1" ht="53.4" customHeight="1" x14ac:dyDescent="0.3">
      <c r="A139" s="481">
        <v>2</v>
      </c>
      <c r="B139" s="392" t="s">
        <v>215</v>
      </c>
      <c r="C139" s="482" t="s">
        <v>65</v>
      </c>
      <c r="D139" s="482" t="s">
        <v>44</v>
      </c>
      <c r="E139" s="482" t="s">
        <v>45</v>
      </c>
      <c r="F139" s="483" t="s">
        <v>46</v>
      </c>
      <c r="G139" s="470"/>
      <c r="H139" s="337">
        <f>H140+H172+H179</f>
        <v>104448.8</v>
      </c>
    </row>
    <row r="140" spans="1:8" s="471" customFormat="1" ht="54" x14ac:dyDescent="0.35">
      <c r="A140" s="461"/>
      <c r="B140" s="484" t="s">
        <v>216</v>
      </c>
      <c r="C140" s="272" t="s">
        <v>65</v>
      </c>
      <c r="D140" s="273" t="s">
        <v>47</v>
      </c>
      <c r="E140" s="273" t="s">
        <v>45</v>
      </c>
      <c r="F140" s="274" t="s">
        <v>46</v>
      </c>
      <c r="G140" s="312"/>
      <c r="H140" s="287">
        <f>H141+H148+H151+H160+H169</f>
        <v>92374.035000000003</v>
      </c>
    </row>
    <row r="141" spans="1:8" s="471" customFormat="1" ht="34.200000000000003" customHeight="1" x14ac:dyDescent="0.35">
      <c r="A141" s="461"/>
      <c r="B141" s="484" t="s">
        <v>278</v>
      </c>
      <c r="C141" s="272" t="s">
        <v>65</v>
      </c>
      <c r="D141" s="273" t="s">
        <v>47</v>
      </c>
      <c r="E141" s="273" t="s">
        <v>39</v>
      </c>
      <c r="F141" s="274" t="s">
        <v>46</v>
      </c>
      <c r="G141" s="312"/>
      <c r="H141" s="287">
        <f>H142+H146+H144</f>
        <v>59901.799999999996</v>
      </c>
    </row>
    <row r="142" spans="1:8" s="471" customFormat="1" ht="36" x14ac:dyDescent="0.35">
      <c r="A142" s="461"/>
      <c r="B142" s="472" t="s">
        <v>540</v>
      </c>
      <c r="C142" s="272" t="s">
        <v>65</v>
      </c>
      <c r="D142" s="273" t="s">
        <v>47</v>
      </c>
      <c r="E142" s="273" t="s">
        <v>39</v>
      </c>
      <c r="F142" s="274" t="s">
        <v>93</v>
      </c>
      <c r="G142" s="42"/>
      <c r="H142" s="287">
        <f>H143</f>
        <v>55457.1</v>
      </c>
    </row>
    <row r="143" spans="1:8" s="471" customFormat="1" ht="32.4" customHeight="1" x14ac:dyDescent="0.35">
      <c r="A143" s="461"/>
      <c r="B143" s="478" t="s">
        <v>78</v>
      </c>
      <c r="C143" s="272" t="s">
        <v>65</v>
      </c>
      <c r="D143" s="273" t="s">
        <v>47</v>
      </c>
      <c r="E143" s="273" t="s">
        <v>39</v>
      </c>
      <c r="F143" s="274" t="s">
        <v>93</v>
      </c>
      <c r="G143" s="42" t="s">
        <v>79</v>
      </c>
      <c r="H143" s="287">
        <f>'прил9 (ведом 22)'!M574</f>
        <v>55457.1</v>
      </c>
    </row>
    <row r="144" spans="1:8" s="471" customFormat="1" ht="20.25" customHeight="1" x14ac:dyDescent="0.35">
      <c r="A144" s="461"/>
      <c r="B144" s="485" t="s">
        <v>541</v>
      </c>
      <c r="C144" s="272" t="s">
        <v>65</v>
      </c>
      <c r="D144" s="273" t="s">
        <v>47</v>
      </c>
      <c r="E144" s="273" t="s">
        <v>39</v>
      </c>
      <c r="F144" s="274" t="s">
        <v>399</v>
      </c>
      <c r="G144" s="42"/>
      <c r="H144" s="287">
        <f>H145</f>
        <v>1168.5999999999999</v>
      </c>
    </row>
    <row r="145" spans="1:8" s="471" customFormat="1" ht="37.950000000000003" customHeight="1" x14ac:dyDescent="0.35">
      <c r="A145" s="461"/>
      <c r="B145" s="485" t="s">
        <v>78</v>
      </c>
      <c r="C145" s="272" t="s">
        <v>65</v>
      </c>
      <c r="D145" s="273" t="s">
        <v>47</v>
      </c>
      <c r="E145" s="273" t="s">
        <v>39</v>
      </c>
      <c r="F145" s="274" t="s">
        <v>399</v>
      </c>
      <c r="G145" s="42" t="s">
        <v>79</v>
      </c>
      <c r="H145" s="287">
        <f>'прил9 (ведом 22)'!M576</f>
        <v>1168.5999999999999</v>
      </c>
    </row>
    <row r="146" spans="1:8" s="471" customFormat="1" ht="36" x14ac:dyDescent="0.35">
      <c r="A146" s="461"/>
      <c r="B146" s="485" t="s">
        <v>319</v>
      </c>
      <c r="C146" s="272" t="s">
        <v>65</v>
      </c>
      <c r="D146" s="273" t="s">
        <v>47</v>
      </c>
      <c r="E146" s="273" t="s">
        <v>39</v>
      </c>
      <c r="F146" s="274" t="s">
        <v>320</v>
      </c>
      <c r="G146" s="42"/>
      <c r="H146" s="287">
        <f>H147</f>
        <v>3276.1</v>
      </c>
    </row>
    <row r="147" spans="1:8" s="471" customFormat="1" ht="35.4" customHeight="1" x14ac:dyDescent="0.35">
      <c r="A147" s="461"/>
      <c r="B147" s="485" t="s">
        <v>78</v>
      </c>
      <c r="C147" s="272" t="s">
        <v>65</v>
      </c>
      <c r="D147" s="273" t="s">
        <v>47</v>
      </c>
      <c r="E147" s="273" t="s">
        <v>39</v>
      </c>
      <c r="F147" s="274" t="s">
        <v>320</v>
      </c>
      <c r="G147" s="42" t="s">
        <v>79</v>
      </c>
      <c r="H147" s="287">
        <f>'прил9 (ведом 22)'!M578</f>
        <v>3276.1</v>
      </c>
    </row>
    <row r="148" spans="1:8" ht="18" x14ac:dyDescent="0.35">
      <c r="A148" s="571"/>
      <c r="B148" s="478" t="s">
        <v>279</v>
      </c>
      <c r="C148" s="272" t="s">
        <v>65</v>
      </c>
      <c r="D148" s="273" t="s">
        <v>47</v>
      </c>
      <c r="E148" s="273" t="s">
        <v>41</v>
      </c>
      <c r="F148" s="274" t="s">
        <v>46</v>
      </c>
      <c r="G148" s="42"/>
      <c r="H148" s="572">
        <f>H149</f>
        <v>225</v>
      </c>
    </row>
    <row r="149" spans="1:8" s="471" customFormat="1" ht="36" x14ac:dyDescent="0.35">
      <c r="A149" s="461"/>
      <c r="B149" s="478" t="s">
        <v>213</v>
      </c>
      <c r="C149" s="272" t="s">
        <v>65</v>
      </c>
      <c r="D149" s="273" t="s">
        <v>47</v>
      </c>
      <c r="E149" s="273" t="s">
        <v>41</v>
      </c>
      <c r="F149" s="274" t="s">
        <v>281</v>
      </c>
      <c r="G149" s="42"/>
      <c r="H149" s="287">
        <f>H150</f>
        <v>225</v>
      </c>
    </row>
    <row r="150" spans="1:8" s="471" customFormat="1" ht="19.95" customHeight="1" x14ac:dyDescent="0.35">
      <c r="A150" s="461"/>
      <c r="B150" s="478" t="s">
        <v>122</v>
      </c>
      <c r="C150" s="272" t="s">
        <v>65</v>
      </c>
      <c r="D150" s="273" t="s">
        <v>47</v>
      </c>
      <c r="E150" s="273" t="s">
        <v>41</v>
      </c>
      <c r="F150" s="274" t="s">
        <v>281</v>
      </c>
      <c r="G150" s="42" t="s">
        <v>123</v>
      </c>
      <c r="H150" s="287">
        <f>'прил9 (ведом 22)'!M590</f>
        <v>225</v>
      </c>
    </row>
    <row r="151" spans="1:8" s="471" customFormat="1" ht="18" x14ac:dyDescent="0.35">
      <c r="A151" s="461"/>
      <c r="B151" s="472" t="s">
        <v>321</v>
      </c>
      <c r="C151" s="486" t="s">
        <v>65</v>
      </c>
      <c r="D151" s="487" t="s">
        <v>47</v>
      </c>
      <c r="E151" s="487" t="s">
        <v>65</v>
      </c>
      <c r="F151" s="488" t="s">
        <v>46</v>
      </c>
      <c r="G151" s="489"/>
      <c r="H151" s="287">
        <f>H152+H154+H156+H158</f>
        <v>12765.723</v>
      </c>
    </row>
    <row r="152" spans="1:8" s="471" customFormat="1" ht="36" x14ac:dyDescent="0.35">
      <c r="A152" s="461"/>
      <c r="B152" s="472" t="s">
        <v>540</v>
      </c>
      <c r="C152" s="486" t="s">
        <v>65</v>
      </c>
      <c r="D152" s="487" t="s">
        <v>47</v>
      </c>
      <c r="E152" s="487" t="s">
        <v>65</v>
      </c>
      <c r="F152" s="488" t="s">
        <v>93</v>
      </c>
      <c r="G152" s="489"/>
      <c r="H152" s="287">
        <f>H153</f>
        <v>11475.3</v>
      </c>
    </row>
    <row r="153" spans="1:8" s="471" customFormat="1" ht="34.950000000000003" customHeight="1" x14ac:dyDescent="0.35">
      <c r="A153" s="461"/>
      <c r="B153" s="478" t="s">
        <v>78</v>
      </c>
      <c r="C153" s="272" t="s">
        <v>65</v>
      </c>
      <c r="D153" s="273" t="s">
        <v>47</v>
      </c>
      <c r="E153" s="273" t="s">
        <v>65</v>
      </c>
      <c r="F153" s="274" t="s">
        <v>93</v>
      </c>
      <c r="G153" s="42" t="s">
        <v>79</v>
      </c>
      <c r="H153" s="287">
        <f>'прил9 (ведом 22)'!M597</f>
        <v>11475.3</v>
      </c>
    </row>
    <row r="154" spans="1:8" s="471" customFormat="1" ht="36" x14ac:dyDescent="0.35">
      <c r="A154" s="461"/>
      <c r="B154" s="478" t="s">
        <v>319</v>
      </c>
      <c r="C154" s="486" t="s">
        <v>65</v>
      </c>
      <c r="D154" s="487" t="s">
        <v>47</v>
      </c>
      <c r="E154" s="487" t="s">
        <v>65</v>
      </c>
      <c r="F154" s="488" t="s">
        <v>320</v>
      </c>
      <c r="G154" s="489"/>
      <c r="H154" s="287">
        <f>H155</f>
        <v>258.2</v>
      </c>
    </row>
    <row r="155" spans="1:8" s="471" customFormat="1" ht="36" x14ac:dyDescent="0.35">
      <c r="A155" s="461"/>
      <c r="B155" s="478" t="s">
        <v>78</v>
      </c>
      <c r="C155" s="486" t="s">
        <v>65</v>
      </c>
      <c r="D155" s="487" t="s">
        <v>47</v>
      </c>
      <c r="E155" s="487" t="s">
        <v>65</v>
      </c>
      <c r="F155" s="488" t="s">
        <v>320</v>
      </c>
      <c r="G155" s="489" t="s">
        <v>79</v>
      </c>
      <c r="H155" s="287">
        <f>'прил9 (ведом 22)'!M599</f>
        <v>258.2</v>
      </c>
    </row>
    <row r="156" spans="1:8" s="471" customFormat="1" ht="54" x14ac:dyDescent="0.35">
      <c r="A156" s="461"/>
      <c r="B156" s="478" t="s">
        <v>217</v>
      </c>
      <c r="C156" s="272" t="s">
        <v>65</v>
      </c>
      <c r="D156" s="273" t="s">
        <v>47</v>
      </c>
      <c r="E156" s="273" t="s">
        <v>65</v>
      </c>
      <c r="F156" s="274" t="s">
        <v>322</v>
      </c>
      <c r="G156" s="42"/>
      <c r="H156" s="287">
        <f>H157</f>
        <v>471</v>
      </c>
    </row>
    <row r="157" spans="1:8" s="471" customFormat="1" ht="36" x14ac:dyDescent="0.35">
      <c r="A157" s="461"/>
      <c r="B157" s="478" t="s">
        <v>78</v>
      </c>
      <c r="C157" s="272" t="s">
        <v>65</v>
      </c>
      <c r="D157" s="273" t="s">
        <v>47</v>
      </c>
      <c r="E157" s="273" t="s">
        <v>65</v>
      </c>
      <c r="F157" s="274" t="s">
        <v>322</v>
      </c>
      <c r="G157" s="42" t="s">
        <v>79</v>
      </c>
      <c r="H157" s="287">
        <f>'прил9 (ведом 22)'!M601</f>
        <v>471</v>
      </c>
    </row>
    <row r="158" spans="1:8" s="471" customFormat="1" ht="18" x14ac:dyDescent="0.35">
      <c r="A158" s="461"/>
      <c r="B158" s="35" t="s">
        <v>767</v>
      </c>
      <c r="C158" s="659" t="s">
        <v>65</v>
      </c>
      <c r="D158" s="660" t="s">
        <v>47</v>
      </c>
      <c r="E158" s="660" t="s">
        <v>65</v>
      </c>
      <c r="F158" s="661" t="s">
        <v>766</v>
      </c>
      <c r="G158" s="17"/>
      <c r="H158" s="287">
        <f>H159</f>
        <v>561.22300000000007</v>
      </c>
    </row>
    <row r="159" spans="1:8" s="471" customFormat="1" ht="36" x14ac:dyDescent="0.35">
      <c r="A159" s="461"/>
      <c r="B159" s="35" t="s">
        <v>78</v>
      </c>
      <c r="C159" s="659" t="s">
        <v>65</v>
      </c>
      <c r="D159" s="660" t="s">
        <v>47</v>
      </c>
      <c r="E159" s="660" t="s">
        <v>65</v>
      </c>
      <c r="F159" s="661" t="s">
        <v>766</v>
      </c>
      <c r="G159" s="17" t="s">
        <v>79</v>
      </c>
      <c r="H159" s="287">
        <f>'прил9 (ведом 22)'!M603</f>
        <v>561.22300000000007</v>
      </c>
    </row>
    <row r="160" spans="1:8" s="471" customFormat="1" ht="36" x14ac:dyDescent="0.35">
      <c r="A160" s="461"/>
      <c r="B160" s="478" t="s">
        <v>323</v>
      </c>
      <c r="C160" s="486" t="s">
        <v>65</v>
      </c>
      <c r="D160" s="487" t="s">
        <v>47</v>
      </c>
      <c r="E160" s="487" t="s">
        <v>54</v>
      </c>
      <c r="F160" s="274" t="s">
        <v>46</v>
      </c>
      <c r="G160" s="42"/>
      <c r="H160" s="287">
        <f>H161+H165+H167</f>
        <v>19192.511999999999</v>
      </c>
    </row>
    <row r="161" spans="1:8" s="471" customFormat="1" ht="36" x14ac:dyDescent="0.35">
      <c r="A161" s="461"/>
      <c r="B161" s="472" t="s">
        <v>540</v>
      </c>
      <c r="C161" s="486" t="s">
        <v>65</v>
      </c>
      <c r="D161" s="487" t="s">
        <v>47</v>
      </c>
      <c r="E161" s="487" t="s">
        <v>54</v>
      </c>
      <c r="F161" s="488" t="s">
        <v>93</v>
      </c>
      <c r="G161" s="489"/>
      <c r="H161" s="287">
        <f>SUM(H162:H164)</f>
        <v>13245.4</v>
      </c>
    </row>
    <row r="162" spans="1:8" s="471" customFormat="1" ht="90" x14ac:dyDescent="0.35">
      <c r="A162" s="461"/>
      <c r="B162" s="285" t="s">
        <v>51</v>
      </c>
      <c r="C162" s="272" t="s">
        <v>65</v>
      </c>
      <c r="D162" s="273" t="s">
        <v>47</v>
      </c>
      <c r="E162" s="273" t="s">
        <v>54</v>
      </c>
      <c r="F162" s="274" t="s">
        <v>93</v>
      </c>
      <c r="G162" s="42" t="s">
        <v>52</v>
      </c>
      <c r="H162" s="287">
        <f>'прил9 (ведом 22)'!M606</f>
        <v>12141.1</v>
      </c>
    </row>
    <row r="163" spans="1:8" s="471" customFormat="1" ht="36" x14ac:dyDescent="0.35">
      <c r="A163" s="461"/>
      <c r="B163" s="285" t="s">
        <v>57</v>
      </c>
      <c r="C163" s="272" t="s">
        <v>65</v>
      </c>
      <c r="D163" s="273" t="s">
        <v>47</v>
      </c>
      <c r="E163" s="273" t="s">
        <v>54</v>
      </c>
      <c r="F163" s="274" t="s">
        <v>93</v>
      </c>
      <c r="G163" s="42" t="s">
        <v>58</v>
      </c>
      <c r="H163" s="287">
        <f>'прил9 (ведом 22)'!M607</f>
        <v>1057.3</v>
      </c>
    </row>
    <row r="164" spans="1:8" s="471" customFormat="1" ht="18" x14ac:dyDescent="0.35">
      <c r="A164" s="461"/>
      <c r="B164" s="285" t="s">
        <v>59</v>
      </c>
      <c r="C164" s="272" t="s">
        <v>65</v>
      </c>
      <c r="D164" s="273" t="s">
        <v>47</v>
      </c>
      <c r="E164" s="273" t="s">
        <v>54</v>
      </c>
      <c r="F164" s="274" t="s">
        <v>93</v>
      </c>
      <c r="G164" s="42" t="s">
        <v>60</v>
      </c>
      <c r="H164" s="287">
        <f>'прил9 (ведом 22)'!M608</f>
        <v>47</v>
      </c>
    </row>
    <row r="165" spans="1:8" s="471" customFormat="1" ht="18" x14ac:dyDescent="0.35">
      <c r="A165" s="461"/>
      <c r="B165" s="31" t="s">
        <v>541</v>
      </c>
      <c r="C165" s="659" t="s">
        <v>65</v>
      </c>
      <c r="D165" s="660" t="s">
        <v>47</v>
      </c>
      <c r="E165" s="660" t="s">
        <v>54</v>
      </c>
      <c r="F165" s="661" t="s">
        <v>399</v>
      </c>
      <c r="G165" s="17"/>
      <c r="H165" s="287">
        <f>H166</f>
        <v>1700</v>
      </c>
    </row>
    <row r="166" spans="1:8" s="471" customFormat="1" ht="36" x14ac:dyDescent="0.35">
      <c r="A166" s="461"/>
      <c r="B166" s="31" t="s">
        <v>57</v>
      </c>
      <c r="C166" s="659" t="s">
        <v>65</v>
      </c>
      <c r="D166" s="660" t="s">
        <v>47</v>
      </c>
      <c r="E166" s="660" t="s">
        <v>54</v>
      </c>
      <c r="F166" s="661" t="s">
        <v>399</v>
      </c>
      <c r="G166" s="17" t="s">
        <v>58</v>
      </c>
      <c r="H166" s="287">
        <f>'прил9 (ведом 22)'!M610</f>
        <v>1700</v>
      </c>
    </row>
    <row r="167" spans="1:8" s="471" customFormat="1" ht="90" x14ac:dyDescent="0.35">
      <c r="A167" s="461"/>
      <c r="B167" s="285" t="s">
        <v>704</v>
      </c>
      <c r="C167" s="272" t="s">
        <v>65</v>
      </c>
      <c r="D167" s="273" t="s">
        <v>47</v>
      </c>
      <c r="E167" s="273" t="s">
        <v>54</v>
      </c>
      <c r="F167" s="274" t="s">
        <v>705</v>
      </c>
      <c r="G167" s="42"/>
      <c r="H167" s="287">
        <f>H168</f>
        <v>4247.1120000000001</v>
      </c>
    </row>
    <row r="168" spans="1:8" s="471" customFormat="1" ht="36" x14ac:dyDescent="0.35">
      <c r="A168" s="461"/>
      <c r="B168" s="285" t="s">
        <v>57</v>
      </c>
      <c r="C168" s="272" t="s">
        <v>65</v>
      </c>
      <c r="D168" s="273" t="s">
        <v>47</v>
      </c>
      <c r="E168" s="273" t="s">
        <v>54</v>
      </c>
      <c r="F168" s="274" t="s">
        <v>705</v>
      </c>
      <c r="G168" s="42" t="s">
        <v>58</v>
      </c>
      <c r="H168" s="287">
        <f>'прил9 (ведом 22)'!M612</f>
        <v>4247.1120000000001</v>
      </c>
    </row>
    <row r="169" spans="1:8" s="471" customFormat="1" ht="32.4" customHeight="1" x14ac:dyDescent="0.35">
      <c r="A169" s="461"/>
      <c r="B169" s="485" t="s">
        <v>283</v>
      </c>
      <c r="C169" s="272" t="s">
        <v>65</v>
      </c>
      <c r="D169" s="273" t="s">
        <v>47</v>
      </c>
      <c r="E169" s="273" t="s">
        <v>67</v>
      </c>
      <c r="F169" s="274" t="s">
        <v>46</v>
      </c>
      <c r="G169" s="42"/>
      <c r="H169" s="287">
        <f>H170</f>
        <v>289</v>
      </c>
    </row>
    <row r="170" spans="1:8" s="471" customFormat="1" ht="36" x14ac:dyDescent="0.35">
      <c r="A170" s="461"/>
      <c r="B170" s="485" t="s">
        <v>553</v>
      </c>
      <c r="C170" s="272" t="s">
        <v>65</v>
      </c>
      <c r="D170" s="273" t="s">
        <v>47</v>
      </c>
      <c r="E170" s="273" t="s">
        <v>67</v>
      </c>
      <c r="F170" s="274" t="s">
        <v>552</v>
      </c>
      <c r="G170" s="42"/>
      <c r="H170" s="287">
        <f>H171</f>
        <v>289</v>
      </c>
    </row>
    <row r="171" spans="1:8" s="471" customFormat="1" ht="39" customHeight="1" x14ac:dyDescent="0.35">
      <c r="A171" s="461"/>
      <c r="B171" s="485" t="s">
        <v>78</v>
      </c>
      <c r="C171" s="272" t="s">
        <v>65</v>
      </c>
      <c r="D171" s="273" t="s">
        <v>47</v>
      </c>
      <c r="E171" s="273" t="s">
        <v>67</v>
      </c>
      <c r="F171" s="274" t="s">
        <v>552</v>
      </c>
      <c r="G171" s="42" t="s">
        <v>79</v>
      </c>
      <c r="H171" s="287">
        <f>'прил9 (ведом 22)'!M584</f>
        <v>289</v>
      </c>
    </row>
    <row r="172" spans="1:8" ht="36" x14ac:dyDescent="0.35">
      <c r="A172" s="461"/>
      <c r="B172" s="472" t="s">
        <v>331</v>
      </c>
      <c r="C172" s="486" t="s">
        <v>65</v>
      </c>
      <c r="D172" s="487" t="s">
        <v>91</v>
      </c>
      <c r="E172" s="487" t="s">
        <v>45</v>
      </c>
      <c r="F172" s="274" t="s">
        <v>46</v>
      </c>
      <c r="G172" s="489"/>
      <c r="H172" s="287">
        <f>H173</f>
        <v>422.46499999999992</v>
      </c>
    </row>
    <row r="173" spans="1:8" ht="90" x14ac:dyDescent="0.35">
      <c r="A173" s="461"/>
      <c r="B173" s="478" t="s">
        <v>324</v>
      </c>
      <c r="C173" s="486" t="s">
        <v>65</v>
      </c>
      <c r="D173" s="487" t="s">
        <v>91</v>
      </c>
      <c r="E173" s="487" t="s">
        <v>65</v>
      </c>
      <c r="F173" s="274" t="s">
        <v>46</v>
      </c>
      <c r="G173" s="489"/>
      <c r="H173" s="287">
        <f>H174+H177</f>
        <v>422.46499999999992</v>
      </c>
    </row>
    <row r="174" spans="1:8" ht="36" x14ac:dyDescent="0.35">
      <c r="A174" s="461"/>
      <c r="B174" s="478" t="s">
        <v>319</v>
      </c>
      <c r="C174" s="486" t="s">
        <v>65</v>
      </c>
      <c r="D174" s="487" t="s">
        <v>91</v>
      </c>
      <c r="E174" s="487" t="s">
        <v>65</v>
      </c>
      <c r="F174" s="488" t="s">
        <v>320</v>
      </c>
      <c r="G174" s="312"/>
      <c r="H174" s="287">
        <f>SUM(H175:H176)</f>
        <v>380.3649999999999</v>
      </c>
    </row>
    <row r="175" spans="1:8" ht="36" x14ac:dyDescent="0.35">
      <c r="A175" s="461"/>
      <c r="B175" s="472" t="s">
        <v>57</v>
      </c>
      <c r="C175" s="272" t="s">
        <v>65</v>
      </c>
      <c r="D175" s="273" t="s">
        <v>91</v>
      </c>
      <c r="E175" s="273" t="s">
        <v>65</v>
      </c>
      <c r="F175" s="274" t="s">
        <v>320</v>
      </c>
      <c r="G175" s="312" t="s">
        <v>58</v>
      </c>
      <c r="H175" s="287">
        <f>'прил9 (ведом 22)'!M625+'прил9 (ведом 22)'!M616</f>
        <v>362.46499999999992</v>
      </c>
    </row>
    <row r="176" spans="1:8" ht="39.75" customHeight="1" x14ac:dyDescent="0.35">
      <c r="A176" s="461"/>
      <c r="B176" s="478" t="s">
        <v>78</v>
      </c>
      <c r="C176" s="272" t="s">
        <v>65</v>
      </c>
      <c r="D176" s="273" t="s">
        <v>91</v>
      </c>
      <c r="E176" s="273" t="s">
        <v>65</v>
      </c>
      <c r="F176" s="274" t="s">
        <v>320</v>
      </c>
      <c r="G176" s="42" t="s">
        <v>79</v>
      </c>
      <c r="H176" s="287">
        <f>'прил9 (ведом 22)'!M617</f>
        <v>17.899999999999999</v>
      </c>
    </row>
    <row r="177" spans="1:8" ht="40.5" customHeight="1" x14ac:dyDescent="0.35">
      <c r="A177" s="461"/>
      <c r="B177" s="485" t="s">
        <v>476</v>
      </c>
      <c r="C177" s="272" t="s">
        <v>65</v>
      </c>
      <c r="D177" s="273" t="s">
        <v>91</v>
      </c>
      <c r="E177" s="273" t="s">
        <v>65</v>
      </c>
      <c r="F177" s="274" t="s">
        <v>477</v>
      </c>
      <c r="G177" s="42"/>
      <c r="H177" s="287">
        <f>H178</f>
        <v>42.1</v>
      </c>
    </row>
    <row r="178" spans="1:8" ht="41.25" customHeight="1" x14ac:dyDescent="0.35">
      <c r="A178" s="461"/>
      <c r="B178" s="485" t="s">
        <v>78</v>
      </c>
      <c r="C178" s="272" t="s">
        <v>65</v>
      </c>
      <c r="D178" s="273" t="s">
        <v>91</v>
      </c>
      <c r="E178" s="273" t="s">
        <v>65</v>
      </c>
      <c r="F178" s="274" t="s">
        <v>477</v>
      </c>
      <c r="G178" s="42" t="s">
        <v>79</v>
      </c>
      <c r="H178" s="287">
        <f>'прил9 (ведом 22)'!M619</f>
        <v>42.1</v>
      </c>
    </row>
    <row r="179" spans="1:8" s="471" customFormat="1" ht="37.200000000000003" customHeight="1" x14ac:dyDescent="0.35">
      <c r="A179" s="461"/>
      <c r="B179" s="472" t="s">
        <v>218</v>
      </c>
      <c r="C179" s="272" t="s">
        <v>65</v>
      </c>
      <c r="D179" s="273" t="s">
        <v>32</v>
      </c>
      <c r="E179" s="273" t="s">
        <v>45</v>
      </c>
      <c r="F179" s="274" t="s">
        <v>46</v>
      </c>
      <c r="G179" s="312"/>
      <c r="H179" s="287">
        <f>H180+H193</f>
        <v>11652.3</v>
      </c>
    </row>
    <row r="180" spans="1:8" s="471" customFormat="1" ht="36" x14ac:dyDescent="0.35">
      <c r="A180" s="461"/>
      <c r="B180" s="472" t="s">
        <v>284</v>
      </c>
      <c r="C180" s="272" t="s">
        <v>65</v>
      </c>
      <c r="D180" s="273" t="s">
        <v>32</v>
      </c>
      <c r="E180" s="273" t="s">
        <v>39</v>
      </c>
      <c r="F180" s="274" t="s">
        <v>46</v>
      </c>
      <c r="G180" s="42"/>
      <c r="H180" s="287">
        <f>H181+H185+H189+H191</f>
        <v>11599</v>
      </c>
    </row>
    <row r="181" spans="1:8" ht="36" x14ac:dyDescent="0.35">
      <c r="A181" s="461"/>
      <c r="B181" s="472" t="s">
        <v>49</v>
      </c>
      <c r="C181" s="272" t="s">
        <v>65</v>
      </c>
      <c r="D181" s="273" t="s">
        <v>32</v>
      </c>
      <c r="E181" s="273" t="s">
        <v>39</v>
      </c>
      <c r="F181" s="274" t="s">
        <v>50</v>
      </c>
      <c r="G181" s="489"/>
      <c r="H181" s="287">
        <f>SUM(H182:H184)</f>
        <v>3290.1</v>
      </c>
    </row>
    <row r="182" spans="1:8" ht="90" x14ac:dyDescent="0.35">
      <c r="A182" s="461"/>
      <c r="B182" s="472" t="s">
        <v>51</v>
      </c>
      <c r="C182" s="272" t="s">
        <v>65</v>
      </c>
      <c r="D182" s="273" t="s">
        <v>32</v>
      </c>
      <c r="E182" s="273" t="s">
        <v>39</v>
      </c>
      <c r="F182" s="274" t="s">
        <v>50</v>
      </c>
      <c r="G182" s="489" t="s">
        <v>52</v>
      </c>
      <c r="H182" s="287">
        <f>'прил9 (ведом 22)'!M629</f>
        <v>3036.2999999999997</v>
      </c>
    </row>
    <row r="183" spans="1:8" ht="36" x14ac:dyDescent="0.35">
      <c r="A183" s="461"/>
      <c r="B183" s="472" t="s">
        <v>57</v>
      </c>
      <c r="C183" s="272" t="s">
        <v>65</v>
      </c>
      <c r="D183" s="273" t="s">
        <v>32</v>
      </c>
      <c r="E183" s="273" t="s">
        <v>39</v>
      </c>
      <c r="F183" s="274" t="s">
        <v>50</v>
      </c>
      <c r="G183" s="489" t="s">
        <v>58</v>
      </c>
      <c r="H183" s="287">
        <f>'прил9 (ведом 22)'!M630</f>
        <v>249.4</v>
      </c>
    </row>
    <row r="184" spans="1:8" ht="18" x14ac:dyDescent="0.35">
      <c r="A184" s="461"/>
      <c r="B184" s="472" t="s">
        <v>59</v>
      </c>
      <c r="C184" s="272" t="s">
        <v>65</v>
      </c>
      <c r="D184" s="273" t="s">
        <v>32</v>
      </c>
      <c r="E184" s="273" t="s">
        <v>39</v>
      </c>
      <c r="F184" s="274" t="s">
        <v>50</v>
      </c>
      <c r="G184" s="42" t="s">
        <v>60</v>
      </c>
      <c r="H184" s="287">
        <f>'прил9 (ведом 22)'!M631</f>
        <v>4.4000000000000004</v>
      </c>
    </row>
    <row r="185" spans="1:8" ht="36" x14ac:dyDescent="0.35">
      <c r="A185" s="461"/>
      <c r="B185" s="472" t="s">
        <v>540</v>
      </c>
      <c r="C185" s="272" t="s">
        <v>65</v>
      </c>
      <c r="D185" s="273" t="s">
        <v>32</v>
      </c>
      <c r="E185" s="273" t="s">
        <v>39</v>
      </c>
      <c r="F185" s="274" t="s">
        <v>93</v>
      </c>
      <c r="G185" s="42"/>
      <c r="H185" s="287">
        <f>SUM(H186:H188)</f>
        <v>7537.1</v>
      </c>
    </row>
    <row r="186" spans="1:8" ht="90" x14ac:dyDescent="0.35">
      <c r="A186" s="461"/>
      <c r="B186" s="472" t="s">
        <v>51</v>
      </c>
      <c r="C186" s="272" t="s">
        <v>65</v>
      </c>
      <c r="D186" s="273" t="s">
        <v>32</v>
      </c>
      <c r="E186" s="273" t="s">
        <v>39</v>
      </c>
      <c r="F186" s="274" t="s">
        <v>93</v>
      </c>
      <c r="G186" s="489" t="s">
        <v>52</v>
      </c>
      <c r="H186" s="287">
        <f>'прил9 (ведом 22)'!M633</f>
        <v>6988.9000000000005</v>
      </c>
    </row>
    <row r="187" spans="1:8" ht="36" x14ac:dyDescent="0.35">
      <c r="A187" s="461"/>
      <c r="B187" s="472" t="s">
        <v>57</v>
      </c>
      <c r="C187" s="272" t="s">
        <v>65</v>
      </c>
      <c r="D187" s="273" t="s">
        <v>32</v>
      </c>
      <c r="E187" s="273" t="s">
        <v>39</v>
      </c>
      <c r="F187" s="274" t="s">
        <v>93</v>
      </c>
      <c r="G187" s="489" t="s">
        <v>58</v>
      </c>
      <c r="H187" s="287">
        <f>'прил9 (ведом 22)'!M634</f>
        <v>546.5</v>
      </c>
    </row>
    <row r="188" spans="1:8" ht="18" x14ac:dyDescent="0.35">
      <c r="A188" s="461"/>
      <c r="B188" s="472" t="s">
        <v>59</v>
      </c>
      <c r="C188" s="272" t="s">
        <v>65</v>
      </c>
      <c r="D188" s="273" t="s">
        <v>32</v>
      </c>
      <c r="E188" s="273" t="s">
        <v>39</v>
      </c>
      <c r="F188" s="274" t="s">
        <v>93</v>
      </c>
      <c r="G188" s="42" t="s">
        <v>60</v>
      </c>
      <c r="H188" s="287">
        <f>'прил9 (ведом 22)'!M635</f>
        <v>1.7</v>
      </c>
    </row>
    <row r="189" spans="1:8" ht="18" x14ac:dyDescent="0.35">
      <c r="A189" s="461"/>
      <c r="B189" s="573" t="s">
        <v>541</v>
      </c>
      <c r="C189" s="272" t="s">
        <v>65</v>
      </c>
      <c r="D189" s="273" t="s">
        <v>32</v>
      </c>
      <c r="E189" s="273" t="s">
        <v>39</v>
      </c>
      <c r="F189" s="574" t="s">
        <v>399</v>
      </c>
      <c r="G189" s="575"/>
      <c r="H189" s="287">
        <f>H190</f>
        <v>311.5</v>
      </c>
    </row>
    <row r="190" spans="1:8" ht="36" x14ac:dyDescent="0.35">
      <c r="A190" s="461"/>
      <c r="B190" s="285" t="s">
        <v>57</v>
      </c>
      <c r="C190" s="272" t="s">
        <v>65</v>
      </c>
      <c r="D190" s="273" t="s">
        <v>32</v>
      </c>
      <c r="E190" s="273" t="s">
        <v>39</v>
      </c>
      <c r="F190" s="576" t="s">
        <v>399</v>
      </c>
      <c r="G190" s="577" t="s">
        <v>58</v>
      </c>
      <c r="H190" s="287">
        <f>'прил9 (ведом 22)'!M637</f>
        <v>311.5</v>
      </c>
    </row>
    <row r="191" spans="1:8" ht="54" x14ac:dyDescent="0.35">
      <c r="A191" s="461"/>
      <c r="B191" s="31" t="s">
        <v>398</v>
      </c>
      <c r="C191" s="272" t="s">
        <v>65</v>
      </c>
      <c r="D191" s="273" t="s">
        <v>32</v>
      </c>
      <c r="E191" s="273" t="s">
        <v>39</v>
      </c>
      <c r="F191" s="274" t="s">
        <v>397</v>
      </c>
      <c r="G191" s="27"/>
      <c r="H191" s="287">
        <f>H192</f>
        <v>460.3</v>
      </c>
    </row>
    <row r="192" spans="1:8" ht="36" x14ac:dyDescent="0.35">
      <c r="A192" s="461"/>
      <c r="B192" s="31" t="s">
        <v>57</v>
      </c>
      <c r="C192" s="272" t="s">
        <v>65</v>
      </c>
      <c r="D192" s="273" t="s">
        <v>32</v>
      </c>
      <c r="E192" s="273" t="s">
        <v>39</v>
      </c>
      <c r="F192" s="274" t="s">
        <v>397</v>
      </c>
      <c r="G192" s="42" t="s">
        <v>58</v>
      </c>
      <c r="H192" s="287">
        <f>'прил9 (ведом 22)'!M564</f>
        <v>460.3</v>
      </c>
    </row>
    <row r="193" spans="1:8" ht="36" x14ac:dyDescent="0.35">
      <c r="A193" s="461"/>
      <c r="B193" s="285" t="s">
        <v>360</v>
      </c>
      <c r="C193" s="272" t="s">
        <v>65</v>
      </c>
      <c r="D193" s="273" t="s">
        <v>32</v>
      </c>
      <c r="E193" s="273" t="s">
        <v>41</v>
      </c>
      <c r="F193" s="274" t="s">
        <v>46</v>
      </c>
      <c r="G193" s="195"/>
      <c r="H193" s="287">
        <f>H194</f>
        <v>53.3</v>
      </c>
    </row>
    <row r="194" spans="1:8" ht="54" x14ac:dyDescent="0.35">
      <c r="A194" s="461"/>
      <c r="B194" s="285" t="s">
        <v>361</v>
      </c>
      <c r="C194" s="272" t="s">
        <v>65</v>
      </c>
      <c r="D194" s="273" t="s">
        <v>32</v>
      </c>
      <c r="E194" s="273" t="s">
        <v>41</v>
      </c>
      <c r="F194" s="274" t="s">
        <v>107</v>
      </c>
      <c r="G194" s="195"/>
      <c r="H194" s="287">
        <f>H195</f>
        <v>53.3</v>
      </c>
    </row>
    <row r="195" spans="1:8" ht="36" x14ac:dyDescent="0.35">
      <c r="A195" s="461"/>
      <c r="B195" s="285" t="s">
        <v>57</v>
      </c>
      <c r="C195" s="272" t="s">
        <v>65</v>
      </c>
      <c r="D195" s="273" t="s">
        <v>32</v>
      </c>
      <c r="E195" s="273" t="s">
        <v>41</v>
      </c>
      <c r="F195" s="274" t="s">
        <v>107</v>
      </c>
      <c r="G195" s="42" t="s">
        <v>58</v>
      </c>
      <c r="H195" s="287">
        <f>'прил9 (ведом 22)'!M567</f>
        <v>53.3</v>
      </c>
    </row>
    <row r="196" spans="1:8" ht="18" x14ac:dyDescent="0.35">
      <c r="A196" s="461"/>
      <c r="B196" s="480"/>
      <c r="C196" s="490"/>
      <c r="D196" s="490"/>
      <c r="E196" s="398"/>
      <c r="F196" s="491"/>
      <c r="G196" s="312"/>
      <c r="H196" s="287"/>
    </row>
    <row r="197" spans="1:8" s="471" customFormat="1" ht="52.2" x14ac:dyDescent="0.3">
      <c r="A197" s="481">
        <v>3</v>
      </c>
      <c r="B197" s="492" t="s">
        <v>219</v>
      </c>
      <c r="C197" s="482" t="s">
        <v>54</v>
      </c>
      <c r="D197" s="482" t="s">
        <v>44</v>
      </c>
      <c r="E197" s="482" t="s">
        <v>45</v>
      </c>
      <c r="F197" s="483" t="s">
        <v>46</v>
      </c>
      <c r="G197" s="470"/>
      <c r="H197" s="337">
        <f>H198+H205+H236</f>
        <v>50821.099999999991</v>
      </c>
    </row>
    <row r="198" spans="1:8" ht="24" customHeight="1" x14ac:dyDescent="0.35">
      <c r="A198" s="461"/>
      <c r="B198" s="484" t="s">
        <v>220</v>
      </c>
      <c r="C198" s="272" t="s">
        <v>54</v>
      </c>
      <c r="D198" s="273" t="s">
        <v>47</v>
      </c>
      <c r="E198" s="273" t="s">
        <v>45</v>
      </c>
      <c r="F198" s="274" t="s">
        <v>46</v>
      </c>
      <c r="G198" s="312"/>
      <c r="H198" s="287">
        <f>H199+H202</f>
        <v>800.7</v>
      </c>
    </row>
    <row r="199" spans="1:8" ht="18" x14ac:dyDescent="0.35">
      <c r="A199" s="461"/>
      <c r="B199" s="472" t="s">
        <v>279</v>
      </c>
      <c r="C199" s="272" t="s">
        <v>54</v>
      </c>
      <c r="D199" s="273" t="s">
        <v>47</v>
      </c>
      <c r="E199" s="273" t="s">
        <v>39</v>
      </c>
      <c r="F199" s="274" t="s">
        <v>46</v>
      </c>
      <c r="G199" s="312"/>
      <c r="H199" s="287">
        <f>H200</f>
        <v>171</v>
      </c>
    </row>
    <row r="200" spans="1:8" ht="36" x14ac:dyDescent="0.35">
      <c r="A200" s="461"/>
      <c r="B200" s="472" t="s">
        <v>280</v>
      </c>
      <c r="C200" s="272" t="s">
        <v>54</v>
      </c>
      <c r="D200" s="273" t="s">
        <v>47</v>
      </c>
      <c r="E200" s="273" t="s">
        <v>39</v>
      </c>
      <c r="F200" s="274" t="s">
        <v>281</v>
      </c>
      <c r="G200" s="42"/>
      <c r="H200" s="287">
        <f>H201</f>
        <v>171</v>
      </c>
    </row>
    <row r="201" spans="1:8" ht="22.5" customHeight="1" x14ac:dyDescent="0.35">
      <c r="A201" s="461"/>
      <c r="B201" s="472" t="s">
        <v>122</v>
      </c>
      <c r="C201" s="272" t="s">
        <v>54</v>
      </c>
      <c r="D201" s="273" t="s">
        <v>47</v>
      </c>
      <c r="E201" s="273" t="s">
        <v>39</v>
      </c>
      <c r="F201" s="274" t="s">
        <v>281</v>
      </c>
      <c r="G201" s="42" t="s">
        <v>123</v>
      </c>
      <c r="H201" s="287">
        <f>'прил9 (ведом 22)'!M653</f>
        <v>171</v>
      </c>
    </row>
    <row r="202" spans="1:8" ht="34.200000000000003" customHeight="1" x14ac:dyDescent="0.35">
      <c r="A202" s="461"/>
      <c r="B202" s="472" t="s">
        <v>294</v>
      </c>
      <c r="C202" s="272" t="s">
        <v>54</v>
      </c>
      <c r="D202" s="273" t="s">
        <v>47</v>
      </c>
      <c r="E202" s="273" t="s">
        <v>41</v>
      </c>
      <c r="F202" s="274" t="s">
        <v>46</v>
      </c>
      <c r="G202" s="42"/>
      <c r="H202" s="287">
        <f>H203</f>
        <v>629.70000000000005</v>
      </c>
    </row>
    <row r="203" spans="1:8" ht="42" customHeight="1" x14ac:dyDescent="0.35">
      <c r="A203" s="461"/>
      <c r="B203" s="472" t="s">
        <v>221</v>
      </c>
      <c r="C203" s="272" t="s">
        <v>54</v>
      </c>
      <c r="D203" s="273" t="s">
        <v>47</v>
      </c>
      <c r="E203" s="273" t="s">
        <v>41</v>
      </c>
      <c r="F203" s="274" t="s">
        <v>295</v>
      </c>
      <c r="G203" s="42"/>
      <c r="H203" s="287">
        <f>SUM(H204:H204)</f>
        <v>629.70000000000005</v>
      </c>
    </row>
    <row r="204" spans="1:8" ht="36" x14ac:dyDescent="0.35">
      <c r="A204" s="461"/>
      <c r="B204" s="472" t="s">
        <v>57</v>
      </c>
      <c r="C204" s="272" t="s">
        <v>54</v>
      </c>
      <c r="D204" s="273" t="s">
        <v>47</v>
      </c>
      <c r="E204" s="273" t="s">
        <v>41</v>
      </c>
      <c r="F204" s="274" t="s">
        <v>295</v>
      </c>
      <c r="G204" s="42" t="s">
        <v>58</v>
      </c>
      <c r="H204" s="287">
        <f>'прил9 (ведом 22)'!M686</f>
        <v>629.70000000000005</v>
      </c>
    </row>
    <row r="205" spans="1:8" ht="22.5" customHeight="1" x14ac:dyDescent="0.35">
      <c r="A205" s="461"/>
      <c r="B205" s="472" t="s">
        <v>222</v>
      </c>
      <c r="C205" s="272" t="s">
        <v>54</v>
      </c>
      <c r="D205" s="273" t="s">
        <v>91</v>
      </c>
      <c r="E205" s="273" t="s">
        <v>45</v>
      </c>
      <c r="F205" s="274" t="s">
        <v>46</v>
      </c>
      <c r="G205" s="312"/>
      <c r="H205" s="287">
        <f>H206+H211+H226+H229</f>
        <v>48946.099999999991</v>
      </c>
    </row>
    <row r="206" spans="1:8" ht="36" x14ac:dyDescent="0.35">
      <c r="A206" s="461"/>
      <c r="B206" s="472" t="s">
        <v>284</v>
      </c>
      <c r="C206" s="272" t="s">
        <v>54</v>
      </c>
      <c r="D206" s="273" t="s">
        <v>91</v>
      </c>
      <c r="E206" s="273" t="s">
        <v>39</v>
      </c>
      <c r="F206" s="274" t="s">
        <v>46</v>
      </c>
      <c r="G206" s="42"/>
      <c r="H206" s="287">
        <f>H207</f>
        <v>2858.1</v>
      </c>
    </row>
    <row r="207" spans="1:8" ht="36" x14ac:dyDescent="0.35">
      <c r="A207" s="461"/>
      <c r="B207" s="472" t="s">
        <v>49</v>
      </c>
      <c r="C207" s="272" t="s">
        <v>54</v>
      </c>
      <c r="D207" s="273" t="s">
        <v>91</v>
      </c>
      <c r="E207" s="273" t="s">
        <v>39</v>
      </c>
      <c r="F207" s="274" t="s">
        <v>50</v>
      </c>
      <c r="G207" s="42"/>
      <c r="H207" s="287">
        <f>SUM(H208:H210)</f>
        <v>2858.1</v>
      </c>
    </row>
    <row r="208" spans="1:8" ht="90" x14ac:dyDescent="0.35">
      <c r="A208" s="461"/>
      <c r="B208" s="472" t="s">
        <v>51</v>
      </c>
      <c r="C208" s="272" t="s">
        <v>54</v>
      </c>
      <c r="D208" s="273" t="s">
        <v>91</v>
      </c>
      <c r="E208" s="273" t="s">
        <v>39</v>
      </c>
      <c r="F208" s="274" t="s">
        <v>50</v>
      </c>
      <c r="G208" s="42" t="s">
        <v>52</v>
      </c>
      <c r="H208" s="287">
        <f>'прил9 (ведом 22)'!M692</f>
        <v>2798.9</v>
      </c>
    </row>
    <row r="209" spans="1:8" ht="36" x14ac:dyDescent="0.35">
      <c r="A209" s="461"/>
      <c r="B209" s="472" t="s">
        <v>57</v>
      </c>
      <c r="C209" s="272" t="s">
        <v>54</v>
      </c>
      <c r="D209" s="273" t="s">
        <v>91</v>
      </c>
      <c r="E209" s="273" t="s">
        <v>39</v>
      </c>
      <c r="F209" s="274" t="s">
        <v>50</v>
      </c>
      <c r="G209" s="42" t="s">
        <v>58</v>
      </c>
      <c r="H209" s="287">
        <f>'прил9 (ведом 22)'!M693</f>
        <v>57.2</v>
      </c>
    </row>
    <row r="210" spans="1:8" ht="18" x14ac:dyDescent="0.35">
      <c r="A210" s="461"/>
      <c r="B210" s="472" t="s">
        <v>59</v>
      </c>
      <c r="C210" s="272" t="s">
        <v>54</v>
      </c>
      <c r="D210" s="273" t="s">
        <v>91</v>
      </c>
      <c r="E210" s="273" t="s">
        <v>39</v>
      </c>
      <c r="F210" s="274" t="s">
        <v>50</v>
      </c>
      <c r="G210" s="42" t="s">
        <v>60</v>
      </c>
      <c r="H210" s="287">
        <f>'прил9 (ведом 22)'!M694</f>
        <v>2</v>
      </c>
    </row>
    <row r="211" spans="1:8" ht="18" x14ac:dyDescent="0.35">
      <c r="A211" s="461"/>
      <c r="B211" s="472" t="s">
        <v>370</v>
      </c>
      <c r="C211" s="272" t="s">
        <v>54</v>
      </c>
      <c r="D211" s="273" t="s">
        <v>91</v>
      </c>
      <c r="E211" s="273" t="s">
        <v>41</v>
      </c>
      <c r="F211" s="274" t="s">
        <v>46</v>
      </c>
      <c r="G211" s="42"/>
      <c r="H211" s="287">
        <f>H212+H216+H222+H218+H220+H224</f>
        <v>42291.399999999994</v>
      </c>
    </row>
    <row r="212" spans="1:8" ht="36" x14ac:dyDescent="0.35">
      <c r="A212" s="461"/>
      <c r="B212" s="472" t="s">
        <v>540</v>
      </c>
      <c r="C212" s="272" t="s">
        <v>54</v>
      </c>
      <c r="D212" s="273" t="s">
        <v>91</v>
      </c>
      <c r="E212" s="273" t="s">
        <v>41</v>
      </c>
      <c r="F212" s="274" t="s">
        <v>93</v>
      </c>
      <c r="G212" s="42"/>
      <c r="H212" s="287">
        <f>SUM(H213:H215)</f>
        <v>24061.999999999996</v>
      </c>
    </row>
    <row r="213" spans="1:8" ht="90" x14ac:dyDescent="0.35">
      <c r="A213" s="461"/>
      <c r="B213" s="472" t="s">
        <v>51</v>
      </c>
      <c r="C213" s="272" t="s">
        <v>54</v>
      </c>
      <c r="D213" s="273" t="s">
        <v>91</v>
      </c>
      <c r="E213" s="273" t="s">
        <v>41</v>
      </c>
      <c r="F213" s="274" t="s">
        <v>93</v>
      </c>
      <c r="G213" s="42" t="s">
        <v>52</v>
      </c>
      <c r="H213" s="287">
        <f>'прил9 (ведом 22)'!M657</f>
        <v>18439.599999999999</v>
      </c>
    </row>
    <row r="214" spans="1:8" ht="36" x14ac:dyDescent="0.35">
      <c r="A214" s="461"/>
      <c r="B214" s="472" t="s">
        <v>57</v>
      </c>
      <c r="C214" s="272" t="s">
        <v>54</v>
      </c>
      <c r="D214" s="273" t="s">
        <v>91</v>
      </c>
      <c r="E214" s="273" t="s">
        <v>41</v>
      </c>
      <c r="F214" s="274" t="s">
        <v>93</v>
      </c>
      <c r="G214" s="42" t="s">
        <v>58</v>
      </c>
      <c r="H214" s="287">
        <f>'прил9 (ведом 22)'!M658</f>
        <v>5556.0999999999995</v>
      </c>
    </row>
    <row r="215" spans="1:8" ht="18" x14ac:dyDescent="0.35">
      <c r="A215" s="461"/>
      <c r="B215" s="472" t="s">
        <v>59</v>
      </c>
      <c r="C215" s="272" t="s">
        <v>54</v>
      </c>
      <c r="D215" s="273" t="s">
        <v>91</v>
      </c>
      <c r="E215" s="273" t="s">
        <v>41</v>
      </c>
      <c r="F215" s="274" t="s">
        <v>93</v>
      </c>
      <c r="G215" s="42" t="s">
        <v>60</v>
      </c>
      <c r="H215" s="287">
        <f>'прил9 (ведом 22)'!M659</f>
        <v>66.3</v>
      </c>
    </row>
    <row r="216" spans="1:8" ht="18" x14ac:dyDescent="0.35">
      <c r="A216" s="461"/>
      <c r="B216" s="285" t="s">
        <v>541</v>
      </c>
      <c r="C216" s="272" t="s">
        <v>54</v>
      </c>
      <c r="D216" s="273" t="s">
        <v>91</v>
      </c>
      <c r="E216" s="273" t="s">
        <v>41</v>
      </c>
      <c r="F216" s="274" t="s">
        <v>399</v>
      </c>
      <c r="G216" s="42"/>
      <c r="H216" s="287">
        <f>H217</f>
        <v>5058.8</v>
      </c>
    </row>
    <row r="217" spans="1:8" ht="36" x14ac:dyDescent="0.35">
      <c r="A217" s="461"/>
      <c r="B217" s="285" t="s">
        <v>57</v>
      </c>
      <c r="C217" s="272" t="s">
        <v>54</v>
      </c>
      <c r="D217" s="273" t="s">
        <v>91</v>
      </c>
      <c r="E217" s="273" t="s">
        <v>41</v>
      </c>
      <c r="F217" s="274" t="s">
        <v>399</v>
      </c>
      <c r="G217" s="42" t="s">
        <v>58</v>
      </c>
      <c r="H217" s="287">
        <f>'прил9 (ведом 22)'!M661</f>
        <v>5058.8</v>
      </c>
    </row>
    <row r="218" spans="1:8" ht="36" x14ac:dyDescent="0.35">
      <c r="A218" s="461"/>
      <c r="B218" s="285" t="s">
        <v>221</v>
      </c>
      <c r="C218" s="272" t="s">
        <v>54</v>
      </c>
      <c r="D218" s="273" t="s">
        <v>91</v>
      </c>
      <c r="E218" s="273" t="s">
        <v>41</v>
      </c>
      <c r="F218" s="274" t="s">
        <v>295</v>
      </c>
      <c r="G218" s="42"/>
      <c r="H218" s="287">
        <f>H219</f>
        <v>6801.2</v>
      </c>
    </row>
    <row r="219" spans="1:8" ht="36" x14ac:dyDescent="0.35">
      <c r="A219" s="461"/>
      <c r="B219" s="285" t="s">
        <v>57</v>
      </c>
      <c r="C219" s="272" t="s">
        <v>54</v>
      </c>
      <c r="D219" s="273" t="s">
        <v>91</v>
      </c>
      <c r="E219" s="273" t="s">
        <v>41</v>
      </c>
      <c r="F219" s="274" t="s">
        <v>295</v>
      </c>
      <c r="G219" s="42" t="s">
        <v>58</v>
      </c>
      <c r="H219" s="287">
        <f>'прил9 (ведом 22)'!M663</f>
        <v>6801.2</v>
      </c>
    </row>
    <row r="220" spans="1:8" ht="180" x14ac:dyDescent="0.35">
      <c r="A220" s="461"/>
      <c r="B220" s="285" t="s">
        <v>503</v>
      </c>
      <c r="C220" s="272" t="s">
        <v>54</v>
      </c>
      <c r="D220" s="273" t="s">
        <v>91</v>
      </c>
      <c r="E220" s="273" t="s">
        <v>41</v>
      </c>
      <c r="F220" s="274" t="s">
        <v>451</v>
      </c>
      <c r="G220" s="42"/>
      <c r="H220" s="287">
        <f>H221</f>
        <v>250</v>
      </c>
    </row>
    <row r="221" spans="1:8" ht="90" x14ac:dyDescent="0.35">
      <c r="A221" s="461"/>
      <c r="B221" s="285" t="s">
        <v>51</v>
      </c>
      <c r="C221" s="272" t="s">
        <v>54</v>
      </c>
      <c r="D221" s="273" t="s">
        <v>91</v>
      </c>
      <c r="E221" s="273" t="s">
        <v>41</v>
      </c>
      <c r="F221" s="274" t="s">
        <v>451</v>
      </c>
      <c r="G221" s="42" t="s">
        <v>52</v>
      </c>
      <c r="H221" s="287">
        <f>'прил9 (ведом 22)'!M665</f>
        <v>250</v>
      </c>
    </row>
    <row r="222" spans="1:8" ht="58.2" customHeight="1" x14ac:dyDescent="0.35">
      <c r="A222" s="461"/>
      <c r="B222" s="285" t="s">
        <v>506</v>
      </c>
      <c r="C222" s="272" t="s">
        <v>54</v>
      </c>
      <c r="D222" s="273" t="s">
        <v>91</v>
      </c>
      <c r="E222" s="273" t="s">
        <v>41</v>
      </c>
      <c r="F222" s="274" t="s">
        <v>473</v>
      </c>
      <c r="G222" s="42"/>
      <c r="H222" s="287">
        <f>H223</f>
        <v>999.4</v>
      </c>
    </row>
    <row r="223" spans="1:8" ht="90" x14ac:dyDescent="0.35">
      <c r="A223" s="461"/>
      <c r="B223" s="285" t="s">
        <v>51</v>
      </c>
      <c r="C223" s="272" t="s">
        <v>54</v>
      </c>
      <c r="D223" s="273" t="s">
        <v>91</v>
      </c>
      <c r="E223" s="273" t="s">
        <v>41</v>
      </c>
      <c r="F223" s="274" t="s">
        <v>473</v>
      </c>
      <c r="G223" s="42" t="s">
        <v>52</v>
      </c>
      <c r="H223" s="287">
        <f>'прил9 (ведом 22)'!M667</f>
        <v>999.4</v>
      </c>
    </row>
    <row r="224" spans="1:8" ht="144" x14ac:dyDescent="0.35">
      <c r="A224" s="461"/>
      <c r="B224" s="31" t="s">
        <v>791</v>
      </c>
      <c r="C224" s="659" t="s">
        <v>54</v>
      </c>
      <c r="D224" s="660" t="s">
        <v>91</v>
      </c>
      <c r="E224" s="660" t="s">
        <v>41</v>
      </c>
      <c r="F224" s="661" t="s">
        <v>785</v>
      </c>
      <c r="G224" s="17"/>
      <c r="H224" s="287">
        <f>H225</f>
        <v>5120</v>
      </c>
    </row>
    <row r="225" spans="1:8" ht="36" x14ac:dyDescent="0.35">
      <c r="A225" s="461"/>
      <c r="B225" s="31" t="s">
        <v>57</v>
      </c>
      <c r="C225" s="659" t="s">
        <v>54</v>
      </c>
      <c r="D225" s="660" t="s">
        <v>91</v>
      </c>
      <c r="E225" s="660" t="s">
        <v>41</v>
      </c>
      <c r="F225" s="661" t="s">
        <v>785</v>
      </c>
      <c r="G225" s="17" t="s">
        <v>58</v>
      </c>
      <c r="H225" s="287">
        <f>'прил9 (ведом 22)'!M669</f>
        <v>5120</v>
      </c>
    </row>
    <row r="226" spans="1:8" ht="36" x14ac:dyDescent="0.35">
      <c r="A226" s="461"/>
      <c r="B226" s="285" t="s">
        <v>360</v>
      </c>
      <c r="C226" s="272" t="s">
        <v>54</v>
      </c>
      <c r="D226" s="273" t="s">
        <v>91</v>
      </c>
      <c r="E226" s="273" t="s">
        <v>65</v>
      </c>
      <c r="F226" s="274" t="s">
        <v>46</v>
      </c>
      <c r="G226" s="42"/>
      <c r="H226" s="287">
        <f>H227</f>
        <v>35.6</v>
      </c>
    </row>
    <row r="227" spans="1:8" ht="54" x14ac:dyDescent="0.35">
      <c r="A227" s="461"/>
      <c r="B227" s="495" t="s">
        <v>361</v>
      </c>
      <c r="C227" s="272" t="s">
        <v>54</v>
      </c>
      <c r="D227" s="273" t="s">
        <v>91</v>
      </c>
      <c r="E227" s="273" t="s">
        <v>65</v>
      </c>
      <c r="F227" s="274" t="s">
        <v>107</v>
      </c>
      <c r="G227" s="42"/>
      <c r="H227" s="287">
        <f>H228</f>
        <v>35.6</v>
      </c>
    </row>
    <row r="228" spans="1:8" ht="36" x14ac:dyDescent="0.35">
      <c r="A228" s="461"/>
      <c r="B228" s="285" t="s">
        <v>57</v>
      </c>
      <c r="C228" s="272" t="s">
        <v>54</v>
      </c>
      <c r="D228" s="273" t="s">
        <v>91</v>
      </c>
      <c r="E228" s="273" t="s">
        <v>65</v>
      </c>
      <c r="F228" s="274" t="s">
        <v>107</v>
      </c>
      <c r="G228" s="42" t="s">
        <v>58</v>
      </c>
      <c r="H228" s="287">
        <f>'прил9 (ведом 22)'!M646</f>
        <v>35.6</v>
      </c>
    </row>
    <row r="229" spans="1:8" ht="18" x14ac:dyDescent="0.35">
      <c r="A229" s="461"/>
      <c r="B229" s="31" t="s">
        <v>746</v>
      </c>
      <c r="C229" s="659" t="s">
        <v>54</v>
      </c>
      <c r="D229" s="660" t="s">
        <v>91</v>
      </c>
      <c r="E229" s="660" t="s">
        <v>54</v>
      </c>
      <c r="F229" s="661" t="s">
        <v>46</v>
      </c>
      <c r="G229" s="17"/>
      <c r="H229" s="287">
        <f>H230+H234</f>
        <v>3761</v>
      </c>
    </row>
    <row r="230" spans="1:8" ht="36" x14ac:dyDescent="0.35">
      <c r="A230" s="461"/>
      <c r="B230" s="31" t="s">
        <v>540</v>
      </c>
      <c r="C230" s="659" t="s">
        <v>54</v>
      </c>
      <c r="D230" s="660" t="s">
        <v>91</v>
      </c>
      <c r="E230" s="660" t="s">
        <v>54</v>
      </c>
      <c r="F230" s="661" t="s">
        <v>93</v>
      </c>
      <c r="G230" s="17"/>
      <c r="H230" s="287">
        <f>H231+H232+H233</f>
        <v>3121</v>
      </c>
    </row>
    <row r="231" spans="1:8" ht="90" x14ac:dyDescent="0.35">
      <c r="A231" s="461"/>
      <c r="B231" s="31" t="s">
        <v>51</v>
      </c>
      <c r="C231" s="659" t="s">
        <v>54</v>
      </c>
      <c r="D231" s="660" t="s">
        <v>91</v>
      </c>
      <c r="E231" s="660" t="s">
        <v>54</v>
      </c>
      <c r="F231" s="661" t="s">
        <v>93</v>
      </c>
      <c r="G231" s="17" t="s">
        <v>52</v>
      </c>
      <c r="H231" s="287">
        <f>'прил9 (ведом 22)'!M672</f>
        <v>1683.9</v>
      </c>
    </row>
    <row r="232" spans="1:8" ht="36" x14ac:dyDescent="0.35">
      <c r="A232" s="461"/>
      <c r="B232" s="31" t="s">
        <v>57</v>
      </c>
      <c r="C232" s="659" t="s">
        <v>54</v>
      </c>
      <c r="D232" s="660" t="s">
        <v>91</v>
      </c>
      <c r="E232" s="660" t="s">
        <v>54</v>
      </c>
      <c r="F232" s="661" t="s">
        <v>93</v>
      </c>
      <c r="G232" s="17" t="s">
        <v>58</v>
      </c>
      <c r="H232" s="287">
        <f>'прил9 (ведом 22)'!M673</f>
        <v>1313.8</v>
      </c>
    </row>
    <row r="233" spans="1:8" ht="18" x14ac:dyDescent="0.35">
      <c r="A233" s="461"/>
      <c r="B233" s="31" t="s">
        <v>59</v>
      </c>
      <c r="C233" s="659" t="s">
        <v>54</v>
      </c>
      <c r="D233" s="660" t="s">
        <v>91</v>
      </c>
      <c r="E233" s="660" t="s">
        <v>54</v>
      </c>
      <c r="F233" s="661" t="s">
        <v>93</v>
      </c>
      <c r="G233" s="17" t="s">
        <v>60</v>
      </c>
      <c r="H233" s="287">
        <f>'прил9 (ведом 22)'!M674</f>
        <v>123.3</v>
      </c>
    </row>
    <row r="234" spans="1:8" ht="36" x14ac:dyDescent="0.35">
      <c r="A234" s="461"/>
      <c r="B234" s="31" t="s">
        <v>221</v>
      </c>
      <c r="C234" s="659" t="s">
        <v>54</v>
      </c>
      <c r="D234" s="660" t="s">
        <v>91</v>
      </c>
      <c r="E234" s="660" t="s">
        <v>54</v>
      </c>
      <c r="F234" s="661" t="s">
        <v>295</v>
      </c>
      <c r="G234" s="17"/>
      <c r="H234" s="287">
        <f>H235</f>
        <v>640</v>
      </c>
    </row>
    <row r="235" spans="1:8" ht="36" x14ac:dyDescent="0.35">
      <c r="A235" s="461"/>
      <c r="B235" s="31" t="s">
        <v>57</v>
      </c>
      <c r="C235" s="659" t="s">
        <v>54</v>
      </c>
      <c r="D235" s="660" t="s">
        <v>91</v>
      </c>
      <c r="E235" s="660" t="s">
        <v>54</v>
      </c>
      <c r="F235" s="661" t="s">
        <v>295</v>
      </c>
      <c r="G235" s="17" t="s">
        <v>58</v>
      </c>
      <c r="H235" s="287">
        <f>'прил9 (ведом 22)'!M676</f>
        <v>640</v>
      </c>
    </row>
    <row r="236" spans="1:8" ht="18" x14ac:dyDescent="0.35">
      <c r="A236" s="461"/>
      <c r="B236" s="285" t="s">
        <v>345</v>
      </c>
      <c r="C236" s="272" t="s">
        <v>54</v>
      </c>
      <c r="D236" s="273" t="s">
        <v>33</v>
      </c>
      <c r="E236" s="273" t="s">
        <v>45</v>
      </c>
      <c r="F236" s="274" t="s">
        <v>46</v>
      </c>
      <c r="G236" s="42"/>
      <c r="H236" s="287">
        <f>H237</f>
        <v>1074.3</v>
      </c>
    </row>
    <row r="237" spans="1:8" ht="59.25" customHeight="1" x14ac:dyDescent="0.35">
      <c r="A237" s="461"/>
      <c r="B237" s="285" t="s">
        <v>474</v>
      </c>
      <c r="C237" s="272" t="s">
        <v>54</v>
      </c>
      <c r="D237" s="273" t="s">
        <v>33</v>
      </c>
      <c r="E237" s="273" t="s">
        <v>65</v>
      </c>
      <c r="F237" s="274" t="s">
        <v>46</v>
      </c>
      <c r="G237" s="42"/>
      <c r="H237" s="287">
        <f>H238</f>
        <v>1074.3</v>
      </c>
    </row>
    <row r="238" spans="1:8" ht="41.25" customHeight="1" x14ac:dyDescent="0.35">
      <c r="A238" s="461"/>
      <c r="B238" s="285" t="s">
        <v>221</v>
      </c>
      <c r="C238" s="272" t="s">
        <v>54</v>
      </c>
      <c r="D238" s="273" t="s">
        <v>33</v>
      </c>
      <c r="E238" s="273" t="s">
        <v>65</v>
      </c>
      <c r="F238" s="274" t="s">
        <v>295</v>
      </c>
      <c r="G238" s="42"/>
      <c r="H238" s="287">
        <f>H239</f>
        <v>1074.3</v>
      </c>
    </row>
    <row r="239" spans="1:8" ht="35.25" customHeight="1" x14ac:dyDescent="0.35">
      <c r="A239" s="461"/>
      <c r="B239" s="285" t="s">
        <v>205</v>
      </c>
      <c r="C239" s="272" t="s">
        <v>54</v>
      </c>
      <c r="D239" s="273" t="s">
        <v>33</v>
      </c>
      <c r="E239" s="273" t="s">
        <v>65</v>
      </c>
      <c r="F239" s="274" t="s">
        <v>295</v>
      </c>
      <c r="G239" s="42" t="s">
        <v>206</v>
      </c>
      <c r="H239" s="287">
        <f>'прил9 (ведом 22)'!M680</f>
        <v>1074.3</v>
      </c>
    </row>
    <row r="240" spans="1:8" s="471" customFormat="1" ht="52.2" x14ac:dyDescent="0.3">
      <c r="A240" s="481">
        <v>4</v>
      </c>
      <c r="B240" s="392" t="s">
        <v>223</v>
      </c>
      <c r="C240" s="468" t="s">
        <v>67</v>
      </c>
      <c r="D240" s="468" t="s">
        <v>44</v>
      </c>
      <c r="E240" s="468" t="s">
        <v>45</v>
      </c>
      <c r="F240" s="469" t="s">
        <v>46</v>
      </c>
      <c r="G240" s="470"/>
      <c r="H240" s="337">
        <f>H241+H249</f>
        <v>7545.8000000000011</v>
      </c>
    </row>
    <row r="241" spans="1:8" s="471" customFormat="1" ht="18" x14ac:dyDescent="0.35">
      <c r="A241" s="461"/>
      <c r="B241" s="472" t="s">
        <v>224</v>
      </c>
      <c r="C241" s="272" t="s">
        <v>67</v>
      </c>
      <c r="D241" s="273" t="s">
        <v>47</v>
      </c>
      <c r="E241" s="273" t="s">
        <v>45</v>
      </c>
      <c r="F241" s="274" t="s">
        <v>46</v>
      </c>
      <c r="G241" s="312"/>
      <c r="H241" s="287">
        <f>H242</f>
        <v>4026.5</v>
      </c>
    </row>
    <row r="242" spans="1:8" s="471" customFormat="1" ht="72" x14ac:dyDescent="0.35">
      <c r="A242" s="461"/>
      <c r="B242" s="472" t="s">
        <v>290</v>
      </c>
      <c r="C242" s="272" t="s">
        <v>67</v>
      </c>
      <c r="D242" s="273" t="s">
        <v>47</v>
      </c>
      <c r="E242" s="273" t="s">
        <v>39</v>
      </c>
      <c r="F242" s="274" t="s">
        <v>46</v>
      </c>
      <c r="G242" s="42"/>
      <c r="H242" s="287">
        <f>H243+H247</f>
        <v>4026.5</v>
      </c>
    </row>
    <row r="243" spans="1:8" ht="36" x14ac:dyDescent="0.35">
      <c r="A243" s="461"/>
      <c r="B243" s="472" t="s">
        <v>540</v>
      </c>
      <c r="C243" s="272" t="s">
        <v>67</v>
      </c>
      <c r="D243" s="273" t="s">
        <v>47</v>
      </c>
      <c r="E243" s="273" t="s">
        <v>39</v>
      </c>
      <c r="F243" s="274" t="s">
        <v>93</v>
      </c>
      <c r="G243" s="42"/>
      <c r="H243" s="287">
        <f>H244+H245+H246</f>
        <v>3591.2</v>
      </c>
    </row>
    <row r="244" spans="1:8" ht="90" x14ac:dyDescent="0.35">
      <c r="A244" s="461"/>
      <c r="B244" s="472" t="s">
        <v>51</v>
      </c>
      <c r="C244" s="272" t="s">
        <v>67</v>
      </c>
      <c r="D244" s="273" t="s">
        <v>47</v>
      </c>
      <c r="E244" s="273" t="s">
        <v>39</v>
      </c>
      <c r="F244" s="274" t="s">
        <v>93</v>
      </c>
      <c r="G244" s="42" t="s">
        <v>52</v>
      </c>
      <c r="H244" s="287">
        <f>'прил9 (ведом 22)'!M716</f>
        <v>3276.8</v>
      </c>
    </row>
    <row r="245" spans="1:8" ht="36" x14ac:dyDescent="0.35">
      <c r="A245" s="461"/>
      <c r="B245" s="472" t="s">
        <v>57</v>
      </c>
      <c r="C245" s="272" t="s">
        <v>67</v>
      </c>
      <c r="D245" s="273" t="s">
        <v>47</v>
      </c>
      <c r="E245" s="273" t="s">
        <v>39</v>
      </c>
      <c r="F245" s="274" t="s">
        <v>93</v>
      </c>
      <c r="G245" s="42" t="s">
        <v>58</v>
      </c>
      <c r="H245" s="287">
        <f>'прил9 (ведом 22)'!M717</f>
        <v>311.7</v>
      </c>
    </row>
    <row r="246" spans="1:8" ht="18" x14ac:dyDescent="0.35">
      <c r="A246" s="461"/>
      <c r="B246" s="285" t="s">
        <v>59</v>
      </c>
      <c r="C246" s="272" t="s">
        <v>67</v>
      </c>
      <c r="D246" s="273" t="s">
        <v>47</v>
      </c>
      <c r="E246" s="273" t="s">
        <v>39</v>
      </c>
      <c r="F246" s="274" t="s">
        <v>93</v>
      </c>
      <c r="G246" s="42" t="s">
        <v>60</v>
      </c>
      <c r="H246" s="287">
        <f>'прил9 (ведом 22)'!M718</f>
        <v>2.7</v>
      </c>
    </row>
    <row r="247" spans="1:8" ht="36" x14ac:dyDescent="0.35">
      <c r="A247" s="461"/>
      <c r="B247" s="472" t="s">
        <v>291</v>
      </c>
      <c r="C247" s="272" t="s">
        <v>67</v>
      </c>
      <c r="D247" s="273" t="s">
        <v>47</v>
      </c>
      <c r="E247" s="273" t="s">
        <v>39</v>
      </c>
      <c r="F247" s="274" t="s">
        <v>292</v>
      </c>
      <c r="G247" s="42"/>
      <c r="H247" s="287">
        <f>H248</f>
        <v>435.3</v>
      </c>
    </row>
    <row r="248" spans="1:8" ht="36" x14ac:dyDescent="0.35">
      <c r="A248" s="461"/>
      <c r="B248" s="472" t="s">
        <v>57</v>
      </c>
      <c r="C248" s="272" t="s">
        <v>67</v>
      </c>
      <c r="D248" s="273" t="s">
        <v>47</v>
      </c>
      <c r="E248" s="273" t="s">
        <v>39</v>
      </c>
      <c r="F248" s="274" t="s">
        <v>292</v>
      </c>
      <c r="G248" s="42" t="s">
        <v>58</v>
      </c>
      <c r="H248" s="287">
        <f>'прил9 (ведом 22)'!M720</f>
        <v>435.3</v>
      </c>
    </row>
    <row r="249" spans="1:8" s="471" customFormat="1" ht="21" customHeight="1" x14ac:dyDescent="0.35">
      <c r="A249" s="461"/>
      <c r="B249" s="472" t="s">
        <v>222</v>
      </c>
      <c r="C249" s="272" t="s">
        <v>67</v>
      </c>
      <c r="D249" s="273" t="s">
        <v>91</v>
      </c>
      <c r="E249" s="273" t="s">
        <v>45</v>
      </c>
      <c r="F249" s="274" t="s">
        <v>46</v>
      </c>
      <c r="G249" s="42"/>
      <c r="H249" s="287">
        <f>H250+H255+H258+H261</f>
        <v>3519.3000000000006</v>
      </c>
    </row>
    <row r="250" spans="1:8" s="471" customFormat="1" ht="36" x14ac:dyDescent="0.35">
      <c r="A250" s="461"/>
      <c r="B250" s="472" t="s">
        <v>284</v>
      </c>
      <c r="C250" s="272" t="s">
        <v>67</v>
      </c>
      <c r="D250" s="273" t="s">
        <v>91</v>
      </c>
      <c r="E250" s="273" t="s">
        <v>39</v>
      </c>
      <c r="F250" s="274" t="s">
        <v>46</v>
      </c>
      <c r="G250" s="42"/>
      <c r="H250" s="287">
        <f>H251</f>
        <v>3396.6000000000004</v>
      </c>
    </row>
    <row r="251" spans="1:8" s="471" customFormat="1" ht="36" x14ac:dyDescent="0.35">
      <c r="A251" s="461"/>
      <c r="B251" s="472" t="s">
        <v>49</v>
      </c>
      <c r="C251" s="272" t="s">
        <v>67</v>
      </c>
      <c r="D251" s="273" t="s">
        <v>91</v>
      </c>
      <c r="E251" s="273" t="s">
        <v>39</v>
      </c>
      <c r="F251" s="274" t="s">
        <v>50</v>
      </c>
      <c r="G251" s="42"/>
      <c r="H251" s="287">
        <f>SUM(H252:H254)</f>
        <v>3396.6000000000004</v>
      </c>
    </row>
    <row r="252" spans="1:8" s="471" customFormat="1" ht="90" x14ac:dyDescent="0.35">
      <c r="A252" s="461"/>
      <c r="B252" s="472" t="s">
        <v>51</v>
      </c>
      <c r="C252" s="272" t="s">
        <v>67</v>
      </c>
      <c r="D252" s="273" t="s">
        <v>91</v>
      </c>
      <c r="E252" s="273" t="s">
        <v>39</v>
      </c>
      <c r="F252" s="274" t="s">
        <v>50</v>
      </c>
      <c r="G252" s="42" t="s">
        <v>52</v>
      </c>
      <c r="H252" s="287">
        <f>'прил9 (ведом 22)'!M726</f>
        <v>3045.5</v>
      </c>
    </row>
    <row r="253" spans="1:8" ht="36" x14ac:dyDescent="0.35">
      <c r="A253" s="461"/>
      <c r="B253" s="472" t="s">
        <v>57</v>
      </c>
      <c r="C253" s="272" t="s">
        <v>67</v>
      </c>
      <c r="D253" s="273" t="s">
        <v>91</v>
      </c>
      <c r="E253" s="273" t="s">
        <v>39</v>
      </c>
      <c r="F253" s="274" t="s">
        <v>50</v>
      </c>
      <c r="G253" s="42" t="s">
        <v>58</v>
      </c>
      <c r="H253" s="287">
        <f>'прил9 (ведом 22)'!M727</f>
        <v>349.8</v>
      </c>
    </row>
    <row r="254" spans="1:8" ht="18" x14ac:dyDescent="0.35">
      <c r="A254" s="461"/>
      <c r="B254" s="472" t="s">
        <v>59</v>
      </c>
      <c r="C254" s="272" t="s">
        <v>67</v>
      </c>
      <c r="D254" s="273" t="s">
        <v>91</v>
      </c>
      <c r="E254" s="273" t="s">
        <v>39</v>
      </c>
      <c r="F254" s="274" t="s">
        <v>50</v>
      </c>
      <c r="G254" s="42" t="s">
        <v>60</v>
      </c>
      <c r="H254" s="287">
        <f>'прил9 (ведом 22)'!M728</f>
        <v>1.3</v>
      </c>
    </row>
    <row r="255" spans="1:8" ht="36" x14ac:dyDescent="0.35">
      <c r="A255" s="461"/>
      <c r="B255" s="495" t="s">
        <v>360</v>
      </c>
      <c r="C255" s="273" t="s">
        <v>67</v>
      </c>
      <c r="D255" s="273" t="s">
        <v>91</v>
      </c>
      <c r="E255" s="273" t="s">
        <v>41</v>
      </c>
      <c r="F255" s="274" t="s">
        <v>46</v>
      </c>
      <c r="G255" s="42"/>
      <c r="H255" s="287">
        <f>H256</f>
        <v>65.400000000000006</v>
      </c>
    </row>
    <row r="256" spans="1:8" ht="54" x14ac:dyDescent="0.35">
      <c r="A256" s="461"/>
      <c r="B256" s="495" t="s">
        <v>361</v>
      </c>
      <c r="C256" s="272" t="s">
        <v>67</v>
      </c>
      <c r="D256" s="273" t="s">
        <v>91</v>
      </c>
      <c r="E256" s="273" t="s">
        <v>41</v>
      </c>
      <c r="F256" s="274" t="s">
        <v>107</v>
      </c>
      <c r="G256" s="42"/>
      <c r="H256" s="287">
        <f>H257</f>
        <v>65.400000000000006</v>
      </c>
    </row>
    <row r="257" spans="1:8" ht="36" x14ac:dyDescent="0.35">
      <c r="A257" s="461"/>
      <c r="B257" s="495" t="s">
        <v>57</v>
      </c>
      <c r="C257" s="272" t="s">
        <v>67</v>
      </c>
      <c r="D257" s="273" t="s">
        <v>91</v>
      </c>
      <c r="E257" s="273" t="s">
        <v>41</v>
      </c>
      <c r="F257" s="274" t="s">
        <v>107</v>
      </c>
      <c r="G257" s="42" t="s">
        <v>58</v>
      </c>
      <c r="H257" s="287">
        <f>'прил9 (ведом 22)'!M703</f>
        <v>65.400000000000006</v>
      </c>
    </row>
    <row r="258" spans="1:8" ht="36" x14ac:dyDescent="0.35">
      <c r="A258" s="461"/>
      <c r="B258" s="285" t="s">
        <v>544</v>
      </c>
      <c r="C258" s="273" t="s">
        <v>67</v>
      </c>
      <c r="D258" s="273" t="s">
        <v>91</v>
      </c>
      <c r="E258" s="273" t="s">
        <v>65</v>
      </c>
      <c r="F258" s="274" t="s">
        <v>46</v>
      </c>
      <c r="G258" s="42"/>
      <c r="H258" s="287">
        <f>H259</f>
        <v>14.8</v>
      </c>
    </row>
    <row r="259" spans="1:8" ht="18" x14ac:dyDescent="0.35">
      <c r="A259" s="461"/>
      <c r="B259" s="285" t="s">
        <v>542</v>
      </c>
      <c r="C259" s="273" t="s">
        <v>67</v>
      </c>
      <c r="D259" s="273" t="s">
        <v>91</v>
      </c>
      <c r="E259" s="273" t="s">
        <v>65</v>
      </c>
      <c r="F259" s="274" t="s">
        <v>543</v>
      </c>
      <c r="G259" s="42"/>
      <c r="H259" s="287">
        <f>H260</f>
        <v>14.8</v>
      </c>
    </row>
    <row r="260" spans="1:8" ht="36" x14ac:dyDescent="0.35">
      <c r="A260" s="461"/>
      <c r="B260" s="495" t="s">
        <v>57</v>
      </c>
      <c r="C260" s="273" t="s">
        <v>67</v>
      </c>
      <c r="D260" s="273" t="s">
        <v>91</v>
      </c>
      <c r="E260" s="273" t="s">
        <v>65</v>
      </c>
      <c r="F260" s="274" t="s">
        <v>543</v>
      </c>
      <c r="G260" s="42" t="s">
        <v>58</v>
      </c>
      <c r="H260" s="287">
        <f>'прил9 (ведом 22)'!M706</f>
        <v>14.8</v>
      </c>
    </row>
    <row r="261" spans="1:8" ht="36" x14ac:dyDescent="0.35">
      <c r="A261" s="461"/>
      <c r="B261" s="495" t="s">
        <v>554</v>
      </c>
      <c r="C261" s="273" t="s">
        <v>67</v>
      </c>
      <c r="D261" s="273" t="s">
        <v>91</v>
      </c>
      <c r="E261" s="273" t="s">
        <v>54</v>
      </c>
      <c r="F261" s="654" t="s">
        <v>46</v>
      </c>
      <c r="G261" s="312"/>
      <c r="H261" s="287">
        <f>H262</f>
        <v>42.5</v>
      </c>
    </row>
    <row r="262" spans="1:8" ht="36" x14ac:dyDescent="0.35">
      <c r="A262" s="461"/>
      <c r="B262" s="496" t="s">
        <v>129</v>
      </c>
      <c r="C262" s="273" t="s">
        <v>67</v>
      </c>
      <c r="D262" s="273" t="s">
        <v>91</v>
      </c>
      <c r="E262" s="273" t="s">
        <v>54</v>
      </c>
      <c r="F262" s="497" t="s">
        <v>92</v>
      </c>
      <c r="G262" s="312"/>
      <c r="H262" s="287">
        <f>H263</f>
        <v>42.5</v>
      </c>
    </row>
    <row r="263" spans="1:8" ht="36" x14ac:dyDescent="0.35">
      <c r="A263" s="461"/>
      <c r="B263" s="495" t="s">
        <v>57</v>
      </c>
      <c r="C263" s="273" t="s">
        <v>67</v>
      </c>
      <c r="D263" s="273" t="s">
        <v>91</v>
      </c>
      <c r="E263" s="273" t="s">
        <v>54</v>
      </c>
      <c r="F263" s="654" t="s">
        <v>92</v>
      </c>
      <c r="G263" s="312" t="s">
        <v>58</v>
      </c>
      <c r="H263" s="287">
        <f>'прил9 (ведом 22)'!M709</f>
        <v>42.5</v>
      </c>
    </row>
    <row r="264" spans="1:8" ht="18" x14ac:dyDescent="0.35">
      <c r="A264" s="461"/>
      <c r="B264" s="495"/>
      <c r="C264" s="272"/>
      <c r="D264" s="273"/>
      <c r="E264" s="273"/>
      <c r="F264" s="654"/>
      <c r="G264" s="312"/>
      <c r="H264" s="287"/>
    </row>
    <row r="265" spans="1:8" s="471" customFormat="1" ht="52.2" x14ac:dyDescent="0.3">
      <c r="A265" s="481">
        <v>5</v>
      </c>
      <c r="B265" s="392" t="s">
        <v>82</v>
      </c>
      <c r="C265" s="482" t="s">
        <v>83</v>
      </c>
      <c r="D265" s="482" t="s">
        <v>44</v>
      </c>
      <c r="E265" s="482" t="s">
        <v>45</v>
      </c>
      <c r="F265" s="483" t="s">
        <v>46</v>
      </c>
      <c r="G265" s="470"/>
      <c r="H265" s="337">
        <f>H276+H266+H288+H297</f>
        <v>36316.5</v>
      </c>
    </row>
    <row r="266" spans="1:8" ht="54" x14ac:dyDescent="0.35">
      <c r="A266" s="461"/>
      <c r="B266" s="484" t="s">
        <v>84</v>
      </c>
      <c r="C266" s="272" t="s">
        <v>83</v>
      </c>
      <c r="D266" s="273" t="s">
        <v>47</v>
      </c>
      <c r="E266" s="273" t="s">
        <v>45</v>
      </c>
      <c r="F266" s="274" t="s">
        <v>46</v>
      </c>
      <c r="G266" s="312"/>
      <c r="H266" s="287">
        <f>H267</f>
        <v>11875.199999999999</v>
      </c>
    </row>
    <row r="267" spans="1:8" ht="72" x14ac:dyDescent="0.35">
      <c r="A267" s="461"/>
      <c r="B267" s="472" t="s">
        <v>85</v>
      </c>
      <c r="C267" s="272" t="s">
        <v>83</v>
      </c>
      <c r="D267" s="273" t="s">
        <v>47</v>
      </c>
      <c r="E267" s="273" t="s">
        <v>39</v>
      </c>
      <c r="F267" s="274" t="s">
        <v>46</v>
      </c>
      <c r="G267" s="42"/>
      <c r="H267" s="287">
        <f>H268+H270+H272+H274</f>
        <v>11875.199999999999</v>
      </c>
    </row>
    <row r="268" spans="1:8" ht="36" x14ac:dyDescent="0.35">
      <c r="A268" s="461"/>
      <c r="B268" s="484" t="s">
        <v>525</v>
      </c>
      <c r="C268" s="272" t="s">
        <v>83</v>
      </c>
      <c r="D268" s="273" t="s">
        <v>47</v>
      </c>
      <c r="E268" s="273" t="s">
        <v>39</v>
      </c>
      <c r="F268" s="274" t="s">
        <v>86</v>
      </c>
      <c r="G268" s="42"/>
      <c r="H268" s="287">
        <f>H269</f>
        <v>298.39999999999998</v>
      </c>
    </row>
    <row r="269" spans="1:8" ht="36" x14ac:dyDescent="0.35">
      <c r="A269" s="461"/>
      <c r="B269" s="472" t="s">
        <v>57</v>
      </c>
      <c r="C269" s="272" t="s">
        <v>83</v>
      </c>
      <c r="D269" s="273" t="s">
        <v>47</v>
      </c>
      <c r="E269" s="273" t="s">
        <v>39</v>
      </c>
      <c r="F269" s="274" t="s">
        <v>86</v>
      </c>
      <c r="G269" s="42" t="s">
        <v>58</v>
      </c>
      <c r="H269" s="287">
        <f>'прил9 (ведом 22)'!M97</f>
        <v>298.39999999999998</v>
      </c>
    </row>
    <row r="270" spans="1:8" ht="36" x14ac:dyDescent="0.35">
      <c r="A270" s="461"/>
      <c r="B270" s="472" t="s">
        <v>87</v>
      </c>
      <c r="C270" s="272" t="s">
        <v>83</v>
      </c>
      <c r="D270" s="273" t="s">
        <v>47</v>
      </c>
      <c r="E270" s="273" t="s">
        <v>39</v>
      </c>
      <c r="F270" s="274" t="s">
        <v>88</v>
      </c>
      <c r="G270" s="42"/>
      <c r="H270" s="287">
        <f>H271</f>
        <v>223.9</v>
      </c>
    </row>
    <row r="271" spans="1:8" ht="36" x14ac:dyDescent="0.35">
      <c r="A271" s="461"/>
      <c r="B271" s="472" t="s">
        <v>57</v>
      </c>
      <c r="C271" s="272" t="s">
        <v>83</v>
      </c>
      <c r="D271" s="273" t="s">
        <v>47</v>
      </c>
      <c r="E271" s="273" t="s">
        <v>39</v>
      </c>
      <c r="F271" s="274" t="s">
        <v>88</v>
      </c>
      <c r="G271" s="42" t="s">
        <v>58</v>
      </c>
      <c r="H271" s="287">
        <f>'прил9 (ведом 22)'!M99</f>
        <v>223.9</v>
      </c>
    </row>
    <row r="272" spans="1:8" ht="87" customHeight="1" x14ac:dyDescent="0.35">
      <c r="A272" s="461"/>
      <c r="B272" s="472" t="s">
        <v>346</v>
      </c>
      <c r="C272" s="272" t="s">
        <v>83</v>
      </c>
      <c r="D272" s="273" t="s">
        <v>47</v>
      </c>
      <c r="E272" s="273" t="s">
        <v>39</v>
      </c>
      <c r="F272" s="274" t="s">
        <v>334</v>
      </c>
      <c r="G272" s="42"/>
      <c r="H272" s="287">
        <f>H273</f>
        <v>11340.5</v>
      </c>
    </row>
    <row r="273" spans="1:8" ht="18" x14ac:dyDescent="0.35">
      <c r="A273" s="461"/>
      <c r="B273" s="472" t="s">
        <v>125</v>
      </c>
      <c r="C273" s="272" t="s">
        <v>83</v>
      </c>
      <c r="D273" s="273" t="s">
        <v>47</v>
      </c>
      <c r="E273" s="273" t="s">
        <v>39</v>
      </c>
      <c r="F273" s="274" t="s">
        <v>334</v>
      </c>
      <c r="G273" s="42" t="s">
        <v>126</v>
      </c>
      <c r="H273" s="287">
        <f>'прил9 (ведом 22)'!M101</f>
        <v>11340.5</v>
      </c>
    </row>
    <row r="274" spans="1:8" ht="108" x14ac:dyDescent="0.35">
      <c r="A274" s="461"/>
      <c r="B274" s="472" t="s">
        <v>348</v>
      </c>
      <c r="C274" s="272" t="s">
        <v>83</v>
      </c>
      <c r="D274" s="273" t="s">
        <v>47</v>
      </c>
      <c r="E274" s="273" t="s">
        <v>39</v>
      </c>
      <c r="F274" s="274" t="s">
        <v>335</v>
      </c>
      <c r="G274" s="42"/>
      <c r="H274" s="287">
        <f>H275</f>
        <v>12.4</v>
      </c>
    </row>
    <row r="275" spans="1:8" ht="18" x14ac:dyDescent="0.35">
      <c r="A275" s="461"/>
      <c r="B275" s="472" t="s">
        <v>125</v>
      </c>
      <c r="C275" s="272" t="s">
        <v>83</v>
      </c>
      <c r="D275" s="273" t="s">
        <v>47</v>
      </c>
      <c r="E275" s="273" t="s">
        <v>39</v>
      </c>
      <c r="F275" s="274" t="s">
        <v>335</v>
      </c>
      <c r="G275" s="42" t="s">
        <v>126</v>
      </c>
      <c r="H275" s="287">
        <f>'прил9 (ведом 22)'!M103</f>
        <v>12.4</v>
      </c>
    </row>
    <row r="276" spans="1:8" ht="36" x14ac:dyDescent="0.35">
      <c r="A276" s="461"/>
      <c r="B276" s="498" t="s">
        <v>127</v>
      </c>
      <c r="C276" s="272" t="s">
        <v>83</v>
      </c>
      <c r="D276" s="273" t="s">
        <v>91</v>
      </c>
      <c r="E276" s="273" t="s">
        <v>45</v>
      </c>
      <c r="F276" s="274" t="s">
        <v>46</v>
      </c>
      <c r="G276" s="312"/>
      <c r="H276" s="287">
        <f>H277+H285</f>
        <v>10721.6</v>
      </c>
    </row>
    <row r="277" spans="1:8" ht="36" x14ac:dyDescent="0.35">
      <c r="A277" s="461"/>
      <c r="B277" s="472" t="s">
        <v>273</v>
      </c>
      <c r="C277" s="272" t="s">
        <v>83</v>
      </c>
      <c r="D277" s="273" t="s">
        <v>91</v>
      </c>
      <c r="E277" s="273" t="s">
        <v>39</v>
      </c>
      <c r="F277" s="274" t="s">
        <v>46</v>
      </c>
      <c r="G277" s="42"/>
      <c r="H277" s="287">
        <f>H278+H280+H282</f>
        <v>10278</v>
      </c>
    </row>
    <row r="278" spans="1:8" ht="36" x14ac:dyDescent="0.35">
      <c r="A278" s="461"/>
      <c r="B278" s="472" t="s">
        <v>129</v>
      </c>
      <c r="C278" s="272" t="s">
        <v>83</v>
      </c>
      <c r="D278" s="273" t="s">
        <v>91</v>
      </c>
      <c r="E278" s="273" t="s">
        <v>39</v>
      </c>
      <c r="F278" s="274" t="s">
        <v>92</v>
      </c>
      <c r="G278" s="42"/>
      <c r="H278" s="287">
        <f>SUM(H279:H279)</f>
        <v>1585.8</v>
      </c>
    </row>
    <row r="279" spans="1:8" ht="36" x14ac:dyDescent="0.35">
      <c r="A279" s="461"/>
      <c r="B279" s="472" t="s">
        <v>57</v>
      </c>
      <c r="C279" s="272" t="s">
        <v>83</v>
      </c>
      <c r="D279" s="273" t="s">
        <v>91</v>
      </c>
      <c r="E279" s="273" t="s">
        <v>39</v>
      </c>
      <c r="F279" s="274" t="s">
        <v>92</v>
      </c>
      <c r="G279" s="42" t="s">
        <v>58</v>
      </c>
      <c r="H279" s="287">
        <f>'прил9 (ведом 22)'!M109</f>
        <v>1585.8</v>
      </c>
    </row>
    <row r="280" spans="1:8" ht="90" x14ac:dyDescent="0.35">
      <c r="A280" s="461"/>
      <c r="B280" s="498" t="s">
        <v>347</v>
      </c>
      <c r="C280" s="272" t="s">
        <v>83</v>
      </c>
      <c r="D280" s="273" t="s">
        <v>91</v>
      </c>
      <c r="E280" s="273" t="s">
        <v>39</v>
      </c>
      <c r="F280" s="274" t="s">
        <v>336</v>
      </c>
      <c r="G280" s="42"/>
      <c r="H280" s="287">
        <f>H281</f>
        <v>122.1</v>
      </c>
    </row>
    <row r="281" spans="1:8" ht="18" x14ac:dyDescent="0.35">
      <c r="A281" s="461"/>
      <c r="B281" s="498" t="s">
        <v>125</v>
      </c>
      <c r="C281" s="272" t="s">
        <v>83</v>
      </c>
      <c r="D281" s="273" t="s">
        <v>91</v>
      </c>
      <c r="E281" s="273" t="s">
        <v>39</v>
      </c>
      <c r="F281" s="274" t="s">
        <v>336</v>
      </c>
      <c r="G281" s="42" t="s">
        <v>126</v>
      </c>
      <c r="H281" s="287">
        <f>'прил9 (ведом 22)'!M111</f>
        <v>122.1</v>
      </c>
    </row>
    <row r="282" spans="1:8" ht="18" x14ac:dyDescent="0.35">
      <c r="A282" s="461"/>
      <c r="B282" s="285" t="s">
        <v>497</v>
      </c>
      <c r="C282" s="272" t="s">
        <v>83</v>
      </c>
      <c r="D282" s="273" t="s">
        <v>91</v>
      </c>
      <c r="E282" s="273" t="s">
        <v>39</v>
      </c>
      <c r="F282" s="274" t="s">
        <v>498</v>
      </c>
      <c r="G282" s="42"/>
      <c r="H282" s="275">
        <f>H284+H283</f>
        <v>8570.1</v>
      </c>
    </row>
    <row r="283" spans="1:8" ht="36" x14ac:dyDescent="0.35">
      <c r="A283" s="461"/>
      <c r="B283" s="285" t="s">
        <v>57</v>
      </c>
      <c r="C283" s="272" t="s">
        <v>83</v>
      </c>
      <c r="D283" s="273" t="s">
        <v>91</v>
      </c>
      <c r="E283" s="273" t="s">
        <v>39</v>
      </c>
      <c r="F283" s="274" t="s">
        <v>498</v>
      </c>
      <c r="G283" s="42" t="s">
        <v>58</v>
      </c>
      <c r="H283" s="275">
        <f>'прил9 (ведом 22)'!M492</f>
        <v>905.2</v>
      </c>
    </row>
    <row r="284" spans="1:8" ht="36" x14ac:dyDescent="0.35">
      <c r="A284" s="461"/>
      <c r="B284" s="285" t="s">
        <v>78</v>
      </c>
      <c r="C284" s="272" t="s">
        <v>83</v>
      </c>
      <c r="D284" s="273" t="s">
        <v>91</v>
      </c>
      <c r="E284" s="273" t="s">
        <v>39</v>
      </c>
      <c r="F284" s="274" t="s">
        <v>498</v>
      </c>
      <c r="G284" s="42" t="s">
        <v>79</v>
      </c>
      <c r="H284" s="275">
        <f>'прил9 (ведом 22)'!M430+'прил9 (ведом 22)'!M493</f>
        <v>7664.9</v>
      </c>
    </row>
    <row r="285" spans="1:8" ht="54" x14ac:dyDescent="0.35">
      <c r="A285" s="461"/>
      <c r="B285" s="501" t="s">
        <v>128</v>
      </c>
      <c r="C285" s="272" t="s">
        <v>83</v>
      </c>
      <c r="D285" s="273" t="s">
        <v>91</v>
      </c>
      <c r="E285" s="273" t="s">
        <v>41</v>
      </c>
      <c r="F285" s="274" t="s">
        <v>46</v>
      </c>
      <c r="G285" s="42"/>
      <c r="H285" s="287">
        <f>H286</f>
        <v>443.6</v>
      </c>
    </row>
    <row r="286" spans="1:8" ht="36" x14ac:dyDescent="0.35">
      <c r="A286" s="461"/>
      <c r="B286" s="501" t="s">
        <v>129</v>
      </c>
      <c r="C286" s="272" t="s">
        <v>83</v>
      </c>
      <c r="D286" s="273" t="s">
        <v>91</v>
      </c>
      <c r="E286" s="273" t="s">
        <v>41</v>
      </c>
      <c r="F286" s="274" t="s">
        <v>92</v>
      </c>
      <c r="G286" s="42"/>
      <c r="H286" s="287">
        <f>H287</f>
        <v>443.6</v>
      </c>
    </row>
    <row r="287" spans="1:8" ht="36" x14ac:dyDescent="0.35">
      <c r="A287" s="461"/>
      <c r="B287" s="472" t="s">
        <v>57</v>
      </c>
      <c r="C287" s="272" t="s">
        <v>83</v>
      </c>
      <c r="D287" s="273" t="s">
        <v>91</v>
      </c>
      <c r="E287" s="273" t="s">
        <v>41</v>
      </c>
      <c r="F287" s="274" t="s">
        <v>92</v>
      </c>
      <c r="G287" s="42" t="s">
        <v>58</v>
      </c>
      <c r="H287" s="287">
        <f>'прил9 (ведом 22)'!M114</f>
        <v>443.6</v>
      </c>
    </row>
    <row r="288" spans="1:8" ht="54" x14ac:dyDescent="0.35">
      <c r="A288" s="461"/>
      <c r="B288" s="500" t="s">
        <v>377</v>
      </c>
      <c r="C288" s="272" t="s">
        <v>83</v>
      </c>
      <c r="D288" s="273" t="s">
        <v>32</v>
      </c>
      <c r="E288" s="273" t="s">
        <v>45</v>
      </c>
      <c r="F288" s="274" t="s">
        <v>46</v>
      </c>
      <c r="G288" s="42"/>
      <c r="H288" s="287">
        <f>H289+H294</f>
        <v>13697.900000000001</v>
      </c>
    </row>
    <row r="289" spans="1:8" ht="72" x14ac:dyDescent="0.35">
      <c r="A289" s="461"/>
      <c r="B289" s="501" t="s">
        <v>327</v>
      </c>
      <c r="C289" s="272" t="s">
        <v>83</v>
      </c>
      <c r="D289" s="273" t="s">
        <v>32</v>
      </c>
      <c r="E289" s="273" t="s">
        <v>39</v>
      </c>
      <c r="F289" s="274" t="s">
        <v>46</v>
      </c>
      <c r="G289" s="42"/>
      <c r="H289" s="287">
        <f>H290</f>
        <v>13401.400000000001</v>
      </c>
    </row>
    <row r="290" spans="1:8" ht="36" x14ac:dyDescent="0.35">
      <c r="A290" s="461"/>
      <c r="B290" s="472" t="s">
        <v>540</v>
      </c>
      <c r="C290" s="272" t="s">
        <v>83</v>
      </c>
      <c r="D290" s="273" t="s">
        <v>32</v>
      </c>
      <c r="E290" s="273" t="s">
        <v>39</v>
      </c>
      <c r="F290" s="274" t="s">
        <v>93</v>
      </c>
      <c r="G290" s="42"/>
      <c r="H290" s="287">
        <f>SUM(H291:H293)</f>
        <v>13401.400000000001</v>
      </c>
    </row>
    <row r="291" spans="1:8" s="471" customFormat="1" ht="90" x14ac:dyDescent="0.35">
      <c r="A291" s="461"/>
      <c r="B291" s="472" t="s">
        <v>51</v>
      </c>
      <c r="C291" s="272" t="s">
        <v>83</v>
      </c>
      <c r="D291" s="273" t="s">
        <v>32</v>
      </c>
      <c r="E291" s="273" t="s">
        <v>39</v>
      </c>
      <c r="F291" s="274" t="s">
        <v>93</v>
      </c>
      <c r="G291" s="42" t="s">
        <v>52</v>
      </c>
      <c r="H291" s="287">
        <f>'прил9 (ведом 22)'!M118</f>
        <v>11294.300000000001</v>
      </c>
    </row>
    <row r="292" spans="1:8" ht="36" x14ac:dyDescent="0.35">
      <c r="A292" s="461"/>
      <c r="B292" s="472" t="s">
        <v>57</v>
      </c>
      <c r="C292" s="272" t="s">
        <v>83</v>
      </c>
      <c r="D292" s="273" t="s">
        <v>32</v>
      </c>
      <c r="E292" s="273" t="s">
        <v>39</v>
      </c>
      <c r="F292" s="274" t="s">
        <v>93</v>
      </c>
      <c r="G292" s="42" t="s">
        <v>58</v>
      </c>
      <c r="H292" s="287">
        <f>'прил9 (ведом 22)'!M119</f>
        <v>2100.8000000000002</v>
      </c>
    </row>
    <row r="293" spans="1:8" s="471" customFormat="1" ht="18" x14ac:dyDescent="0.35">
      <c r="A293" s="461"/>
      <c r="B293" s="472" t="s">
        <v>59</v>
      </c>
      <c r="C293" s="272" t="s">
        <v>83</v>
      </c>
      <c r="D293" s="273" t="s">
        <v>32</v>
      </c>
      <c r="E293" s="273" t="s">
        <v>39</v>
      </c>
      <c r="F293" s="274" t="s">
        <v>93</v>
      </c>
      <c r="G293" s="42" t="s">
        <v>60</v>
      </c>
      <c r="H293" s="287">
        <f>'прил9 (ведом 22)'!M120</f>
        <v>6.3</v>
      </c>
    </row>
    <row r="294" spans="1:8" s="471" customFormat="1" ht="36" x14ac:dyDescent="0.35">
      <c r="A294" s="461"/>
      <c r="B294" s="472" t="s">
        <v>773</v>
      </c>
      <c r="C294" s="659" t="s">
        <v>83</v>
      </c>
      <c r="D294" s="660" t="s">
        <v>32</v>
      </c>
      <c r="E294" s="660" t="s">
        <v>41</v>
      </c>
      <c r="F294" s="661" t="s">
        <v>46</v>
      </c>
      <c r="G294" s="17"/>
      <c r="H294" s="287">
        <f>H295</f>
        <v>296.5</v>
      </c>
    </row>
    <row r="295" spans="1:8" s="471" customFormat="1" ht="36" x14ac:dyDescent="0.35">
      <c r="A295" s="461"/>
      <c r="B295" s="472" t="s">
        <v>87</v>
      </c>
      <c r="C295" s="659" t="s">
        <v>83</v>
      </c>
      <c r="D295" s="660" t="s">
        <v>32</v>
      </c>
      <c r="E295" s="660" t="s">
        <v>41</v>
      </c>
      <c r="F295" s="661" t="s">
        <v>88</v>
      </c>
      <c r="G295" s="17"/>
      <c r="H295" s="287">
        <f>H296</f>
        <v>296.5</v>
      </c>
    </row>
    <row r="296" spans="1:8" s="471" customFormat="1" ht="36" x14ac:dyDescent="0.35">
      <c r="A296" s="461"/>
      <c r="B296" s="472" t="s">
        <v>57</v>
      </c>
      <c r="C296" s="659" t="s">
        <v>83</v>
      </c>
      <c r="D296" s="660" t="s">
        <v>32</v>
      </c>
      <c r="E296" s="660" t="s">
        <v>41</v>
      </c>
      <c r="F296" s="661" t="s">
        <v>88</v>
      </c>
      <c r="G296" s="17" t="s">
        <v>58</v>
      </c>
      <c r="H296" s="287">
        <f>'прил9 (ведом 22)'!M123</f>
        <v>296.5</v>
      </c>
    </row>
    <row r="297" spans="1:8" s="471" customFormat="1" ht="54" x14ac:dyDescent="0.35">
      <c r="A297" s="461"/>
      <c r="B297" s="504" t="s">
        <v>579</v>
      </c>
      <c r="C297" s="273" t="s">
        <v>83</v>
      </c>
      <c r="D297" s="273" t="s">
        <v>33</v>
      </c>
      <c r="E297" s="273" t="s">
        <v>45</v>
      </c>
      <c r="F297" s="274" t="s">
        <v>46</v>
      </c>
      <c r="G297" s="42"/>
      <c r="H297" s="287">
        <f t="shared" ref="H297:H298" si="0">H298</f>
        <v>21.8</v>
      </c>
    </row>
    <row r="298" spans="1:8" s="471" customFormat="1" ht="54" x14ac:dyDescent="0.35">
      <c r="A298" s="461"/>
      <c r="B298" s="504" t="s">
        <v>580</v>
      </c>
      <c r="C298" s="273" t="s">
        <v>83</v>
      </c>
      <c r="D298" s="273" t="s">
        <v>33</v>
      </c>
      <c r="E298" s="273" t="s">
        <v>39</v>
      </c>
      <c r="F298" s="274" t="s">
        <v>46</v>
      </c>
      <c r="G298" s="42"/>
      <c r="H298" s="287">
        <f t="shared" si="0"/>
        <v>21.8</v>
      </c>
    </row>
    <row r="299" spans="1:8" s="471" customFormat="1" ht="38.25" customHeight="1" x14ac:dyDescent="0.35">
      <c r="A299" s="461"/>
      <c r="B299" s="504" t="s">
        <v>87</v>
      </c>
      <c r="C299" s="273" t="s">
        <v>83</v>
      </c>
      <c r="D299" s="273" t="s">
        <v>33</v>
      </c>
      <c r="E299" s="273" t="s">
        <v>39</v>
      </c>
      <c r="F299" s="274" t="s">
        <v>88</v>
      </c>
      <c r="G299" s="42"/>
      <c r="H299" s="287">
        <f>H300</f>
        <v>21.8</v>
      </c>
    </row>
    <row r="300" spans="1:8" s="471" customFormat="1" ht="36" x14ac:dyDescent="0.35">
      <c r="A300" s="461"/>
      <c r="B300" s="504" t="s">
        <v>57</v>
      </c>
      <c r="C300" s="273" t="s">
        <v>83</v>
      </c>
      <c r="D300" s="273" t="s">
        <v>33</v>
      </c>
      <c r="E300" s="273" t="s">
        <v>39</v>
      </c>
      <c r="F300" s="274" t="s">
        <v>88</v>
      </c>
      <c r="G300" s="42" t="s">
        <v>58</v>
      </c>
      <c r="H300" s="287">
        <f>'прил9 (ведом 22)'!M127</f>
        <v>21.8</v>
      </c>
    </row>
    <row r="301" spans="1:8" ht="18" x14ac:dyDescent="0.35">
      <c r="A301" s="506"/>
      <c r="B301" s="478"/>
      <c r="C301" s="507"/>
      <c r="D301" s="653"/>
      <c r="E301" s="653"/>
      <c r="F301" s="654"/>
      <c r="G301" s="312"/>
      <c r="H301" s="287"/>
    </row>
    <row r="302" spans="1:8" s="471" customFormat="1" ht="52.2" x14ac:dyDescent="0.3">
      <c r="A302" s="481">
        <v>6</v>
      </c>
      <c r="B302" s="492" t="s">
        <v>225</v>
      </c>
      <c r="C302" s="468" t="s">
        <v>226</v>
      </c>
      <c r="D302" s="468" t="s">
        <v>44</v>
      </c>
      <c r="E302" s="468" t="s">
        <v>45</v>
      </c>
      <c r="F302" s="469" t="s">
        <v>46</v>
      </c>
      <c r="G302" s="470"/>
      <c r="H302" s="337">
        <f>H303</f>
        <v>40910.400000000001</v>
      </c>
    </row>
    <row r="303" spans="1:8" ht="18" x14ac:dyDescent="0.35">
      <c r="A303" s="461"/>
      <c r="B303" s="472" t="s">
        <v>345</v>
      </c>
      <c r="C303" s="508" t="s">
        <v>226</v>
      </c>
      <c r="D303" s="509" t="s">
        <v>47</v>
      </c>
      <c r="E303" s="273" t="s">
        <v>45</v>
      </c>
      <c r="F303" s="274" t="s">
        <v>46</v>
      </c>
      <c r="G303" s="42"/>
      <c r="H303" s="287">
        <f>H304+H311+H316+H319+H322</f>
        <v>40910.400000000001</v>
      </c>
    </row>
    <row r="304" spans="1:8" ht="54" x14ac:dyDescent="0.35">
      <c r="A304" s="461"/>
      <c r="B304" s="472" t="s">
        <v>306</v>
      </c>
      <c r="C304" s="508" t="s">
        <v>226</v>
      </c>
      <c r="D304" s="509" t="s">
        <v>47</v>
      </c>
      <c r="E304" s="273" t="s">
        <v>39</v>
      </c>
      <c r="F304" s="274" t="s">
        <v>46</v>
      </c>
      <c r="G304" s="42"/>
      <c r="H304" s="287">
        <f>H305+H309</f>
        <v>28581.8</v>
      </c>
    </row>
    <row r="305" spans="1:8" ht="36" x14ac:dyDescent="0.35">
      <c r="A305" s="461"/>
      <c r="B305" s="472" t="s">
        <v>49</v>
      </c>
      <c r="C305" s="508" t="s">
        <v>226</v>
      </c>
      <c r="D305" s="509" t="s">
        <v>47</v>
      </c>
      <c r="E305" s="273" t="s">
        <v>39</v>
      </c>
      <c r="F305" s="274" t="s">
        <v>50</v>
      </c>
      <c r="G305" s="42"/>
      <c r="H305" s="287">
        <f>SUM(H306:H308)</f>
        <v>28483</v>
      </c>
    </row>
    <row r="306" spans="1:8" ht="93" customHeight="1" x14ac:dyDescent="0.35">
      <c r="A306" s="461"/>
      <c r="B306" s="472" t="s">
        <v>51</v>
      </c>
      <c r="C306" s="508" t="s">
        <v>226</v>
      </c>
      <c r="D306" s="509" t="s">
        <v>47</v>
      </c>
      <c r="E306" s="273" t="s">
        <v>39</v>
      </c>
      <c r="F306" s="274" t="s">
        <v>50</v>
      </c>
      <c r="G306" s="42" t="s">
        <v>52</v>
      </c>
      <c r="H306" s="287">
        <f>'прил9 (ведом 22)'!M258</f>
        <v>27767.3</v>
      </c>
    </row>
    <row r="307" spans="1:8" ht="36" x14ac:dyDescent="0.35">
      <c r="A307" s="461"/>
      <c r="B307" s="472" t="s">
        <v>57</v>
      </c>
      <c r="C307" s="508" t="s">
        <v>226</v>
      </c>
      <c r="D307" s="509" t="s">
        <v>47</v>
      </c>
      <c r="E307" s="273" t="s">
        <v>39</v>
      </c>
      <c r="F307" s="274" t="s">
        <v>50</v>
      </c>
      <c r="G307" s="42" t="s">
        <v>58</v>
      </c>
      <c r="H307" s="287">
        <f>'прил9 (ведом 22)'!M259</f>
        <v>710.90000000000009</v>
      </c>
    </row>
    <row r="308" spans="1:8" ht="18" x14ac:dyDescent="0.35">
      <c r="A308" s="461"/>
      <c r="B308" s="472" t="s">
        <v>59</v>
      </c>
      <c r="C308" s="508" t="s">
        <v>226</v>
      </c>
      <c r="D308" s="509" t="s">
        <v>47</v>
      </c>
      <c r="E308" s="273" t="s">
        <v>39</v>
      </c>
      <c r="F308" s="274" t="s">
        <v>50</v>
      </c>
      <c r="G308" s="42" t="s">
        <v>60</v>
      </c>
      <c r="H308" s="287">
        <f>'прил9 (ведом 22)'!M260</f>
        <v>4.8</v>
      </c>
    </row>
    <row r="309" spans="1:8" ht="36" x14ac:dyDescent="0.35">
      <c r="A309" s="461"/>
      <c r="B309" s="31" t="s">
        <v>701</v>
      </c>
      <c r="C309" s="39" t="s">
        <v>226</v>
      </c>
      <c r="D309" s="40" t="s">
        <v>47</v>
      </c>
      <c r="E309" s="660" t="s">
        <v>39</v>
      </c>
      <c r="F309" s="661" t="s">
        <v>700</v>
      </c>
      <c r="G309" s="17"/>
      <c r="H309" s="287">
        <f>H310</f>
        <v>98.8</v>
      </c>
    </row>
    <row r="310" spans="1:8" ht="36" x14ac:dyDescent="0.35">
      <c r="A310" s="461"/>
      <c r="B310" s="31" t="s">
        <v>57</v>
      </c>
      <c r="C310" s="39" t="s">
        <v>226</v>
      </c>
      <c r="D310" s="40" t="s">
        <v>47</v>
      </c>
      <c r="E310" s="660" t="s">
        <v>39</v>
      </c>
      <c r="F310" s="661" t="s">
        <v>700</v>
      </c>
      <c r="G310" s="17" t="s">
        <v>58</v>
      </c>
      <c r="H310" s="287">
        <f>'прил9 (ведом 22)'!M279</f>
        <v>98.8</v>
      </c>
    </row>
    <row r="311" spans="1:8" ht="24.75" customHeight="1" x14ac:dyDescent="0.35">
      <c r="A311" s="461"/>
      <c r="B311" s="472" t="s">
        <v>307</v>
      </c>
      <c r="C311" s="508" t="s">
        <v>226</v>
      </c>
      <c r="D311" s="509" t="s">
        <v>47</v>
      </c>
      <c r="E311" s="273" t="s">
        <v>41</v>
      </c>
      <c r="F311" s="274" t="s">
        <v>46</v>
      </c>
      <c r="G311" s="42"/>
      <c r="H311" s="287">
        <f>H312+H314</f>
        <v>8285</v>
      </c>
    </row>
    <row r="312" spans="1:8" ht="36" x14ac:dyDescent="0.35">
      <c r="A312" s="461"/>
      <c r="B312" s="285" t="s">
        <v>260</v>
      </c>
      <c r="C312" s="508" t="s">
        <v>226</v>
      </c>
      <c r="D312" s="509" t="s">
        <v>47</v>
      </c>
      <c r="E312" s="273" t="s">
        <v>41</v>
      </c>
      <c r="F312" s="274" t="s">
        <v>468</v>
      </c>
      <c r="G312" s="42"/>
      <c r="H312" s="287">
        <f>H313</f>
        <v>7000</v>
      </c>
    </row>
    <row r="313" spans="1:8" ht="18" x14ac:dyDescent="0.35">
      <c r="A313" s="461"/>
      <c r="B313" s="285" t="s">
        <v>125</v>
      </c>
      <c r="C313" s="508" t="s">
        <v>226</v>
      </c>
      <c r="D313" s="509" t="s">
        <v>47</v>
      </c>
      <c r="E313" s="273" t="s">
        <v>41</v>
      </c>
      <c r="F313" s="274" t="s">
        <v>468</v>
      </c>
      <c r="G313" s="42" t="s">
        <v>126</v>
      </c>
      <c r="H313" s="287">
        <f>'прил9 (ведом 22)'!M286</f>
        <v>7000</v>
      </c>
    </row>
    <row r="314" spans="1:8" ht="54" x14ac:dyDescent="0.35">
      <c r="A314" s="461"/>
      <c r="B314" s="31" t="s">
        <v>780</v>
      </c>
      <c r="C314" s="39" t="s">
        <v>226</v>
      </c>
      <c r="D314" s="40" t="s">
        <v>47</v>
      </c>
      <c r="E314" s="660" t="s">
        <v>41</v>
      </c>
      <c r="F314" s="661" t="s">
        <v>781</v>
      </c>
      <c r="G314" s="17"/>
      <c r="H314" s="287">
        <f>H315</f>
        <v>1285</v>
      </c>
    </row>
    <row r="315" spans="1:8" ht="18.600000000000001" customHeight="1" x14ac:dyDescent="0.35">
      <c r="A315" s="461"/>
      <c r="B315" s="31" t="s">
        <v>125</v>
      </c>
      <c r="C315" s="39" t="s">
        <v>226</v>
      </c>
      <c r="D315" s="40" t="s">
        <v>47</v>
      </c>
      <c r="E315" s="660" t="s">
        <v>41</v>
      </c>
      <c r="F315" s="661" t="s">
        <v>781</v>
      </c>
      <c r="G315" s="17" t="s">
        <v>126</v>
      </c>
      <c r="H315" s="287">
        <f>'прил9 (ведом 22)'!M292</f>
        <v>1285</v>
      </c>
    </row>
    <row r="316" spans="1:8" ht="36" x14ac:dyDescent="0.35">
      <c r="A316" s="461"/>
      <c r="B316" s="472" t="s">
        <v>360</v>
      </c>
      <c r="C316" s="508" t="s">
        <v>226</v>
      </c>
      <c r="D316" s="509" t="s">
        <v>47</v>
      </c>
      <c r="E316" s="273" t="s">
        <v>65</v>
      </c>
      <c r="F316" s="274" t="s">
        <v>46</v>
      </c>
      <c r="G316" s="42"/>
      <c r="H316" s="287">
        <f>H317</f>
        <v>3290.9</v>
      </c>
    </row>
    <row r="317" spans="1:8" ht="54" x14ac:dyDescent="0.35">
      <c r="A317" s="461"/>
      <c r="B317" s="472" t="s">
        <v>361</v>
      </c>
      <c r="C317" s="508" t="s">
        <v>226</v>
      </c>
      <c r="D317" s="509" t="s">
        <v>47</v>
      </c>
      <c r="E317" s="273" t="s">
        <v>65</v>
      </c>
      <c r="F317" s="274" t="s">
        <v>107</v>
      </c>
      <c r="G317" s="42"/>
      <c r="H317" s="287">
        <f>H318</f>
        <v>3290.9</v>
      </c>
    </row>
    <row r="318" spans="1:8" ht="36" x14ac:dyDescent="0.35">
      <c r="A318" s="461"/>
      <c r="B318" s="472" t="s">
        <v>57</v>
      </c>
      <c r="C318" s="508" t="s">
        <v>226</v>
      </c>
      <c r="D318" s="509" t="s">
        <v>47</v>
      </c>
      <c r="E318" s="273" t="s">
        <v>65</v>
      </c>
      <c r="F318" s="274" t="s">
        <v>107</v>
      </c>
      <c r="G318" s="42" t="s">
        <v>58</v>
      </c>
      <c r="H318" s="287">
        <f>'прил9 (ведом 22)'!M269</f>
        <v>3290.9</v>
      </c>
    </row>
    <row r="319" spans="1:8" ht="54" x14ac:dyDescent="0.35">
      <c r="A319" s="461"/>
      <c r="B319" s="285" t="s">
        <v>328</v>
      </c>
      <c r="C319" s="508" t="s">
        <v>226</v>
      </c>
      <c r="D319" s="509" t="s">
        <v>47</v>
      </c>
      <c r="E319" s="273" t="s">
        <v>54</v>
      </c>
      <c r="F319" s="274" t="s">
        <v>46</v>
      </c>
      <c r="G319" s="42"/>
      <c r="H319" s="287">
        <f>H320</f>
        <v>735.5</v>
      </c>
    </row>
    <row r="320" spans="1:8" ht="36" x14ac:dyDescent="0.35">
      <c r="A320" s="461"/>
      <c r="B320" s="285" t="s">
        <v>384</v>
      </c>
      <c r="C320" s="508" t="s">
        <v>226</v>
      </c>
      <c r="D320" s="509" t="s">
        <v>47</v>
      </c>
      <c r="E320" s="273" t="s">
        <v>54</v>
      </c>
      <c r="F320" s="274" t="s">
        <v>383</v>
      </c>
      <c r="G320" s="42"/>
      <c r="H320" s="287">
        <f>H321</f>
        <v>735.5</v>
      </c>
    </row>
    <row r="321" spans="1:8" ht="90" x14ac:dyDescent="0.35">
      <c r="A321" s="461"/>
      <c r="B321" s="472" t="s">
        <v>51</v>
      </c>
      <c r="C321" s="508" t="s">
        <v>226</v>
      </c>
      <c r="D321" s="509" t="s">
        <v>47</v>
      </c>
      <c r="E321" s="273" t="s">
        <v>54</v>
      </c>
      <c r="F321" s="274" t="s">
        <v>383</v>
      </c>
      <c r="G321" s="42" t="s">
        <v>52</v>
      </c>
      <c r="H321" s="287">
        <f>'прил9 (ведом 22)'!M263</f>
        <v>735.5</v>
      </c>
    </row>
    <row r="322" spans="1:8" ht="36" x14ac:dyDescent="0.35">
      <c r="A322" s="461"/>
      <c r="B322" s="285" t="s">
        <v>544</v>
      </c>
      <c r="C322" s="508" t="s">
        <v>226</v>
      </c>
      <c r="D322" s="509" t="s">
        <v>47</v>
      </c>
      <c r="E322" s="273" t="s">
        <v>67</v>
      </c>
      <c r="F322" s="274" t="s">
        <v>46</v>
      </c>
      <c r="G322" s="42"/>
      <c r="H322" s="287">
        <f>H323</f>
        <v>17.2</v>
      </c>
    </row>
    <row r="323" spans="1:8" ht="18" x14ac:dyDescent="0.35">
      <c r="A323" s="461"/>
      <c r="B323" s="285" t="s">
        <v>542</v>
      </c>
      <c r="C323" s="508" t="s">
        <v>226</v>
      </c>
      <c r="D323" s="509" t="s">
        <v>47</v>
      </c>
      <c r="E323" s="273" t="s">
        <v>67</v>
      </c>
      <c r="F323" s="274" t="s">
        <v>543</v>
      </c>
      <c r="G323" s="42"/>
      <c r="H323" s="287">
        <f>H324</f>
        <v>17.2</v>
      </c>
    </row>
    <row r="324" spans="1:8" ht="36" x14ac:dyDescent="0.35">
      <c r="A324" s="461"/>
      <c r="B324" s="285" t="s">
        <v>57</v>
      </c>
      <c r="C324" s="508" t="s">
        <v>226</v>
      </c>
      <c r="D324" s="509" t="s">
        <v>47</v>
      </c>
      <c r="E324" s="273" t="s">
        <v>67</v>
      </c>
      <c r="F324" s="274" t="s">
        <v>543</v>
      </c>
      <c r="G324" s="42" t="s">
        <v>58</v>
      </c>
      <c r="H324" s="287">
        <f>'прил9 (ведом 22)'!M272</f>
        <v>17.2</v>
      </c>
    </row>
    <row r="325" spans="1:8" ht="18" x14ac:dyDescent="0.35">
      <c r="A325" s="461"/>
      <c r="B325" s="472"/>
      <c r="C325" s="509"/>
      <c r="D325" s="509"/>
      <c r="E325" s="509"/>
      <c r="F325" s="510"/>
      <c r="G325" s="42"/>
      <c r="H325" s="287"/>
    </row>
    <row r="326" spans="1:8" s="471" customFormat="1" ht="52.2" x14ac:dyDescent="0.3">
      <c r="A326" s="467">
        <v>7</v>
      </c>
      <c r="B326" s="511" t="s">
        <v>227</v>
      </c>
      <c r="C326" s="512" t="s">
        <v>228</v>
      </c>
      <c r="D326" s="482" t="s">
        <v>44</v>
      </c>
      <c r="E326" s="482" t="s">
        <v>45</v>
      </c>
      <c r="F326" s="483" t="s">
        <v>46</v>
      </c>
      <c r="G326" s="513"/>
      <c r="H326" s="337">
        <f>H327+H336+H356</f>
        <v>45866.099999999991</v>
      </c>
    </row>
    <row r="327" spans="1:8" ht="36" x14ac:dyDescent="0.35">
      <c r="A327" s="506"/>
      <c r="B327" s="519" t="s">
        <v>229</v>
      </c>
      <c r="C327" s="578" t="s">
        <v>228</v>
      </c>
      <c r="D327" s="523" t="s">
        <v>47</v>
      </c>
      <c r="E327" s="523" t="s">
        <v>45</v>
      </c>
      <c r="F327" s="524" t="s">
        <v>46</v>
      </c>
      <c r="G327" s="655"/>
      <c r="H327" s="287">
        <f>H328+H333</f>
        <v>6620.5999999999995</v>
      </c>
    </row>
    <row r="328" spans="1:8" ht="75" customHeight="1" x14ac:dyDescent="0.35">
      <c r="A328" s="506"/>
      <c r="B328" s="519" t="s">
        <v>300</v>
      </c>
      <c r="C328" s="541" t="s">
        <v>228</v>
      </c>
      <c r="D328" s="507" t="s">
        <v>47</v>
      </c>
      <c r="E328" s="507" t="s">
        <v>39</v>
      </c>
      <c r="F328" s="520" t="s">
        <v>46</v>
      </c>
      <c r="G328" s="521"/>
      <c r="H328" s="287">
        <f>H329+H331</f>
        <v>2629.7</v>
      </c>
    </row>
    <row r="329" spans="1:8" ht="33" customHeight="1" x14ac:dyDescent="0.35">
      <c r="A329" s="506"/>
      <c r="B329" s="519" t="s">
        <v>230</v>
      </c>
      <c r="C329" s="541" t="s">
        <v>228</v>
      </c>
      <c r="D329" s="507" t="s">
        <v>47</v>
      </c>
      <c r="E329" s="507" t="s">
        <v>39</v>
      </c>
      <c r="F329" s="520" t="s">
        <v>301</v>
      </c>
      <c r="G329" s="521"/>
      <c r="H329" s="287">
        <f>H330</f>
        <v>511</v>
      </c>
    </row>
    <row r="330" spans="1:8" ht="36" x14ac:dyDescent="0.35">
      <c r="A330" s="506"/>
      <c r="B330" s="472" t="s">
        <v>57</v>
      </c>
      <c r="C330" s="541" t="s">
        <v>228</v>
      </c>
      <c r="D330" s="507" t="s">
        <v>47</v>
      </c>
      <c r="E330" s="507" t="s">
        <v>39</v>
      </c>
      <c r="F330" s="520" t="s">
        <v>301</v>
      </c>
      <c r="G330" s="521" t="s">
        <v>58</v>
      </c>
      <c r="H330" s="287">
        <f>'прил9 (ведом 22)'!M313</f>
        <v>511</v>
      </c>
    </row>
    <row r="331" spans="1:8" ht="36" x14ac:dyDescent="0.35">
      <c r="A331" s="506"/>
      <c r="B331" s="526" t="s">
        <v>381</v>
      </c>
      <c r="C331" s="486" t="s">
        <v>228</v>
      </c>
      <c r="D331" s="507" t="s">
        <v>47</v>
      </c>
      <c r="E331" s="507" t="s">
        <v>39</v>
      </c>
      <c r="F331" s="520" t="s">
        <v>380</v>
      </c>
      <c r="G331" s="521"/>
      <c r="H331" s="287">
        <f>H332</f>
        <v>2118.6999999999998</v>
      </c>
    </row>
    <row r="332" spans="1:8" ht="36" x14ac:dyDescent="0.35">
      <c r="A332" s="506"/>
      <c r="B332" s="285" t="s">
        <v>57</v>
      </c>
      <c r="C332" s="486" t="s">
        <v>228</v>
      </c>
      <c r="D332" s="507" t="s">
        <v>47</v>
      </c>
      <c r="E332" s="507" t="s">
        <v>39</v>
      </c>
      <c r="F332" s="520" t="s">
        <v>380</v>
      </c>
      <c r="G332" s="521" t="s">
        <v>58</v>
      </c>
      <c r="H332" s="287">
        <f>'прил9 (ведом 22)'!M354</f>
        <v>2118.6999999999998</v>
      </c>
    </row>
    <row r="333" spans="1:8" ht="36" x14ac:dyDescent="0.35">
      <c r="A333" s="506"/>
      <c r="B333" s="472" t="s">
        <v>344</v>
      </c>
      <c r="C333" s="541" t="s">
        <v>228</v>
      </c>
      <c r="D333" s="507" t="s">
        <v>47</v>
      </c>
      <c r="E333" s="507" t="s">
        <v>41</v>
      </c>
      <c r="F333" s="520" t="s">
        <v>46</v>
      </c>
      <c r="G333" s="521"/>
      <c r="H333" s="287">
        <f>H334</f>
        <v>3990.8999999999996</v>
      </c>
    </row>
    <row r="334" spans="1:8" ht="36" x14ac:dyDescent="0.35">
      <c r="A334" s="506"/>
      <c r="B334" s="472" t="s">
        <v>343</v>
      </c>
      <c r="C334" s="541" t="s">
        <v>228</v>
      </c>
      <c r="D334" s="507" t="s">
        <v>47</v>
      </c>
      <c r="E334" s="507" t="s">
        <v>41</v>
      </c>
      <c r="F334" s="520" t="s">
        <v>342</v>
      </c>
      <c r="G334" s="521"/>
      <c r="H334" s="287">
        <f>SUM(H335:H335)</f>
        <v>3990.8999999999996</v>
      </c>
    </row>
    <row r="335" spans="1:8" ht="36" x14ac:dyDescent="0.35">
      <c r="A335" s="506"/>
      <c r="B335" s="472" t="s">
        <v>57</v>
      </c>
      <c r="C335" s="541" t="s">
        <v>228</v>
      </c>
      <c r="D335" s="507" t="s">
        <v>47</v>
      </c>
      <c r="E335" s="507" t="s">
        <v>41</v>
      </c>
      <c r="F335" s="520" t="s">
        <v>342</v>
      </c>
      <c r="G335" s="521" t="s">
        <v>58</v>
      </c>
      <c r="H335" s="287">
        <f>'прил9 (ведом 22)'!M316</f>
        <v>3990.8999999999996</v>
      </c>
    </row>
    <row r="336" spans="1:8" ht="36" x14ac:dyDescent="0.35">
      <c r="A336" s="506"/>
      <c r="B336" s="519" t="s">
        <v>231</v>
      </c>
      <c r="C336" s="486" t="s">
        <v>228</v>
      </c>
      <c r="D336" s="507" t="s">
        <v>91</v>
      </c>
      <c r="E336" s="507" t="s">
        <v>45</v>
      </c>
      <c r="F336" s="520" t="s">
        <v>46</v>
      </c>
      <c r="G336" s="521"/>
      <c r="H336" s="287">
        <f>H337+H350+H353</f>
        <v>24642.499999999996</v>
      </c>
    </row>
    <row r="337" spans="1:8" ht="72" x14ac:dyDescent="0.35">
      <c r="A337" s="506"/>
      <c r="B337" s="519" t="s">
        <v>304</v>
      </c>
      <c r="C337" s="486" t="s">
        <v>228</v>
      </c>
      <c r="D337" s="507" t="s">
        <v>91</v>
      </c>
      <c r="E337" s="507" t="s">
        <v>39</v>
      </c>
      <c r="F337" s="520" t="s">
        <v>46</v>
      </c>
      <c r="G337" s="521"/>
      <c r="H337" s="287">
        <f>H338+H342+H346+H348</f>
        <v>23958.6</v>
      </c>
    </row>
    <row r="338" spans="1:8" ht="36" x14ac:dyDescent="0.35">
      <c r="A338" s="506"/>
      <c r="B338" s="519" t="s">
        <v>49</v>
      </c>
      <c r="C338" s="522" t="s">
        <v>228</v>
      </c>
      <c r="D338" s="523" t="s">
        <v>91</v>
      </c>
      <c r="E338" s="523" t="s">
        <v>39</v>
      </c>
      <c r="F338" s="524" t="s">
        <v>50</v>
      </c>
      <c r="G338" s="521"/>
      <c r="H338" s="287">
        <f>SUM(H339:H341)</f>
        <v>15075.9</v>
      </c>
    </row>
    <row r="339" spans="1:8" ht="90" x14ac:dyDescent="0.35">
      <c r="A339" s="506"/>
      <c r="B339" s="519" t="s">
        <v>51</v>
      </c>
      <c r="C339" s="486" t="s">
        <v>228</v>
      </c>
      <c r="D339" s="507" t="s">
        <v>91</v>
      </c>
      <c r="E339" s="507" t="s">
        <v>39</v>
      </c>
      <c r="F339" s="520" t="s">
        <v>50</v>
      </c>
      <c r="G339" s="521" t="s">
        <v>52</v>
      </c>
      <c r="H339" s="287">
        <f>'прил9 (ведом 22)'!M320</f>
        <v>14720.199999999999</v>
      </c>
    </row>
    <row r="340" spans="1:8" ht="36" x14ac:dyDescent="0.35">
      <c r="A340" s="506"/>
      <c r="B340" s="472" t="s">
        <v>57</v>
      </c>
      <c r="C340" s="486" t="s">
        <v>228</v>
      </c>
      <c r="D340" s="507" t="s">
        <v>91</v>
      </c>
      <c r="E340" s="507" t="s">
        <v>39</v>
      </c>
      <c r="F340" s="520" t="s">
        <v>50</v>
      </c>
      <c r="G340" s="521" t="s">
        <v>58</v>
      </c>
      <c r="H340" s="287">
        <f>'прил9 (ведом 22)'!M321</f>
        <v>354.5</v>
      </c>
    </row>
    <row r="341" spans="1:8" ht="18" x14ac:dyDescent="0.35">
      <c r="A341" s="506"/>
      <c r="B341" s="519" t="s">
        <v>59</v>
      </c>
      <c r="C341" s="486" t="s">
        <v>228</v>
      </c>
      <c r="D341" s="507" t="s">
        <v>91</v>
      </c>
      <c r="E341" s="507" t="s">
        <v>39</v>
      </c>
      <c r="F341" s="520" t="s">
        <v>50</v>
      </c>
      <c r="G341" s="521" t="s">
        <v>60</v>
      </c>
      <c r="H341" s="287">
        <f>'прил9 (ведом 22)'!M322</f>
        <v>1.2</v>
      </c>
    </row>
    <row r="342" spans="1:8" ht="36" x14ac:dyDescent="0.35">
      <c r="A342" s="506"/>
      <c r="B342" s="472" t="s">
        <v>540</v>
      </c>
      <c r="C342" s="486" t="s">
        <v>228</v>
      </c>
      <c r="D342" s="507" t="s">
        <v>91</v>
      </c>
      <c r="E342" s="507" t="s">
        <v>39</v>
      </c>
      <c r="F342" s="520" t="s">
        <v>93</v>
      </c>
      <c r="G342" s="521"/>
      <c r="H342" s="287">
        <f>SUM(H343:H345)</f>
        <v>8803.6999999999971</v>
      </c>
    </row>
    <row r="343" spans="1:8" ht="90" x14ac:dyDescent="0.35">
      <c r="A343" s="506"/>
      <c r="B343" s="519" t="s">
        <v>51</v>
      </c>
      <c r="C343" s="486" t="s">
        <v>228</v>
      </c>
      <c r="D343" s="507" t="s">
        <v>91</v>
      </c>
      <c r="E343" s="507" t="s">
        <v>39</v>
      </c>
      <c r="F343" s="520" t="s">
        <v>93</v>
      </c>
      <c r="G343" s="521" t="s">
        <v>52</v>
      </c>
      <c r="H343" s="287">
        <f>'прил9 (ведом 22)'!M324</f>
        <v>8465.0999999999985</v>
      </c>
    </row>
    <row r="344" spans="1:8" ht="36" x14ac:dyDescent="0.35">
      <c r="A344" s="506"/>
      <c r="B344" s="472" t="s">
        <v>57</v>
      </c>
      <c r="C344" s="522" t="s">
        <v>228</v>
      </c>
      <c r="D344" s="523" t="s">
        <v>91</v>
      </c>
      <c r="E344" s="523" t="s">
        <v>39</v>
      </c>
      <c r="F344" s="524" t="s">
        <v>93</v>
      </c>
      <c r="G344" s="521" t="s">
        <v>58</v>
      </c>
      <c r="H344" s="287">
        <f>'прил9 (ведом 22)'!M325</f>
        <v>318.3</v>
      </c>
    </row>
    <row r="345" spans="1:8" ht="18" x14ac:dyDescent="0.35">
      <c r="A345" s="506"/>
      <c r="B345" s="519" t="s">
        <v>59</v>
      </c>
      <c r="C345" s="486" t="s">
        <v>228</v>
      </c>
      <c r="D345" s="507" t="s">
        <v>91</v>
      </c>
      <c r="E345" s="507" t="s">
        <v>39</v>
      </c>
      <c r="F345" s="520" t="s">
        <v>93</v>
      </c>
      <c r="G345" s="521" t="s">
        <v>60</v>
      </c>
      <c r="H345" s="287">
        <f>'прил9 (ведом 22)'!M326</f>
        <v>20.3</v>
      </c>
    </row>
    <row r="346" spans="1:8" ht="36" x14ac:dyDescent="0.35">
      <c r="A346" s="506"/>
      <c r="B346" s="31" t="s">
        <v>701</v>
      </c>
      <c r="C346" s="128" t="s">
        <v>228</v>
      </c>
      <c r="D346" s="116" t="s">
        <v>91</v>
      </c>
      <c r="E346" s="116" t="s">
        <v>39</v>
      </c>
      <c r="F346" s="117" t="s">
        <v>700</v>
      </c>
      <c r="G346" s="118"/>
      <c r="H346" s="287">
        <f>H347</f>
        <v>10</v>
      </c>
    </row>
    <row r="347" spans="1:8" ht="36" x14ac:dyDescent="0.35">
      <c r="A347" s="506"/>
      <c r="B347" s="31" t="s">
        <v>57</v>
      </c>
      <c r="C347" s="128" t="s">
        <v>228</v>
      </c>
      <c r="D347" s="116" t="s">
        <v>91</v>
      </c>
      <c r="E347" s="116" t="s">
        <v>39</v>
      </c>
      <c r="F347" s="117" t="s">
        <v>700</v>
      </c>
      <c r="G347" s="118" t="s">
        <v>58</v>
      </c>
      <c r="H347" s="287">
        <f>'прил9 (ведом 22)'!M384</f>
        <v>10</v>
      </c>
    </row>
    <row r="348" spans="1:8" ht="54" x14ac:dyDescent="0.35">
      <c r="A348" s="506"/>
      <c r="B348" s="285" t="s">
        <v>363</v>
      </c>
      <c r="C348" s="486" t="s">
        <v>228</v>
      </c>
      <c r="D348" s="507" t="s">
        <v>91</v>
      </c>
      <c r="E348" s="507" t="s">
        <v>39</v>
      </c>
      <c r="F348" s="520" t="s">
        <v>362</v>
      </c>
      <c r="G348" s="521"/>
      <c r="H348" s="287">
        <f>H349</f>
        <v>69</v>
      </c>
    </row>
    <row r="349" spans="1:8" ht="36" x14ac:dyDescent="0.35">
      <c r="A349" s="506"/>
      <c r="B349" s="285" t="s">
        <v>57</v>
      </c>
      <c r="C349" s="486" t="s">
        <v>228</v>
      </c>
      <c r="D349" s="507" t="s">
        <v>91</v>
      </c>
      <c r="E349" s="507" t="s">
        <v>39</v>
      </c>
      <c r="F349" s="520" t="s">
        <v>362</v>
      </c>
      <c r="G349" s="521" t="s">
        <v>58</v>
      </c>
      <c r="H349" s="287">
        <f>'прил9 (ведом 22)'!M328</f>
        <v>69</v>
      </c>
    </row>
    <row r="350" spans="1:8" ht="36" x14ac:dyDescent="0.35">
      <c r="A350" s="506"/>
      <c r="B350" s="579" t="s">
        <v>360</v>
      </c>
      <c r="C350" s="580" t="s">
        <v>228</v>
      </c>
      <c r="D350" s="581" t="s">
        <v>91</v>
      </c>
      <c r="E350" s="581" t="s">
        <v>41</v>
      </c>
      <c r="F350" s="582" t="s">
        <v>46</v>
      </c>
      <c r="G350" s="531"/>
      <c r="H350" s="583">
        <f>H351</f>
        <v>669.1</v>
      </c>
    </row>
    <row r="351" spans="1:8" ht="54" x14ac:dyDescent="0.35">
      <c r="A351" s="506"/>
      <c r="B351" s="584" t="s">
        <v>361</v>
      </c>
      <c r="C351" s="525" t="s">
        <v>228</v>
      </c>
      <c r="D351" s="529" t="s">
        <v>91</v>
      </c>
      <c r="E351" s="529" t="s">
        <v>41</v>
      </c>
      <c r="F351" s="530" t="s">
        <v>107</v>
      </c>
      <c r="G351" s="534"/>
      <c r="H351" s="287">
        <f>H352</f>
        <v>669.1</v>
      </c>
    </row>
    <row r="352" spans="1:8" ht="36" x14ac:dyDescent="0.35">
      <c r="A352" s="506"/>
      <c r="B352" s="585" t="s">
        <v>57</v>
      </c>
      <c r="C352" s="586" t="s">
        <v>228</v>
      </c>
      <c r="D352" s="529" t="s">
        <v>91</v>
      </c>
      <c r="E352" s="529" t="s">
        <v>41</v>
      </c>
      <c r="F352" s="530" t="s">
        <v>107</v>
      </c>
      <c r="G352" s="534" t="s">
        <v>58</v>
      </c>
      <c r="H352" s="287">
        <f>'прил9 (ведом 22)'!M331</f>
        <v>669.1</v>
      </c>
    </row>
    <row r="353" spans="1:8" ht="27" customHeight="1" x14ac:dyDescent="0.35">
      <c r="A353" s="506"/>
      <c r="B353" s="519" t="s">
        <v>385</v>
      </c>
      <c r="C353" s="540" t="s">
        <v>228</v>
      </c>
      <c r="D353" s="536" t="s">
        <v>91</v>
      </c>
      <c r="E353" s="587" t="s">
        <v>65</v>
      </c>
      <c r="F353" s="588" t="s">
        <v>46</v>
      </c>
      <c r="G353" s="589"/>
      <c r="H353" s="287">
        <f>H354</f>
        <v>14.8</v>
      </c>
    </row>
    <row r="354" spans="1:8" ht="36" x14ac:dyDescent="0.35">
      <c r="A354" s="506"/>
      <c r="B354" s="519" t="s">
        <v>343</v>
      </c>
      <c r="C354" s="540" t="s">
        <v>228</v>
      </c>
      <c r="D354" s="536" t="s">
        <v>91</v>
      </c>
      <c r="E354" s="590" t="s">
        <v>65</v>
      </c>
      <c r="F354" s="591" t="s">
        <v>342</v>
      </c>
      <c r="G354" s="589"/>
      <c r="H354" s="287">
        <f>H355</f>
        <v>14.8</v>
      </c>
    </row>
    <row r="355" spans="1:8" ht="18" x14ac:dyDescent="0.35">
      <c r="A355" s="506"/>
      <c r="B355" s="526" t="s">
        <v>59</v>
      </c>
      <c r="C355" s="486" t="s">
        <v>228</v>
      </c>
      <c r="D355" s="587" t="s">
        <v>91</v>
      </c>
      <c r="E355" s="587" t="s">
        <v>65</v>
      </c>
      <c r="F355" s="588" t="s">
        <v>342</v>
      </c>
      <c r="G355" s="589" t="s">
        <v>60</v>
      </c>
      <c r="H355" s="287">
        <f>'прил9 (ведом 22)'!M334</f>
        <v>14.8</v>
      </c>
    </row>
    <row r="356" spans="1:8" ht="18" x14ac:dyDescent="0.35">
      <c r="A356" s="506"/>
      <c r="B356" s="592" t="s">
        <v>345</v>
      </c>
      <c r="C356" s="525" t="s">
        <v>228</v>
      </c>
      <c r="D356" s="529" t="s">
        <v>32</v>
      </c>
      <c r="E356" s="529" t="s">
        <v>45</v>
      </c>
      <c r="F356" s="530" t="s">
        <v>46</v>
      </c>
      <c r="G356" s="589"/>
      <c r="H356" s="287">
        <f>H357+H360</f>
        <v>14603</v>
      </c>
    </row>
    <row r="357" spans="1:8" ht="18" x14ac:dyDescent="0.35">
      <c r="A357" s="506"/>
      <c r="B357" s="592" t="s">
        <v>693</v>
      </c>
      <c r="C357" s="525" t="s">
        <v>228</v>
      </c>
      <c r="D357" s="529" t="s">
        <v>32</v>
      </c>
      <c r="E357" s="529" t="s">
        <v>54</v>
      </c>
      <c r="F357" s="530" t="s">
        <v>46</v>
      </c>
      <c r="G357" s="534"/>
      <c r="H357" s="287">
        <f>H358</f>
        <v>13927</v>
      </c>
    </row>
    <row r="358" spans="1:8" ht="36" x14ac:dyDescent="0.35">
      <c r="A358" s="506"/>
      <c r="B358" s="592" t="s">
        <v>694</v>
      </c>
      <c r="C358" s="525" t="s">
        <v>228</v>
      </c>
      <c r="D358" s="529" t="s">
        <v>32</v>
      </c>
      <c r="E358" s="529" t="s">
        <v>54</v>
      </c>
      <c r="F358" s="530" t="s">
        <v>692</v>
      </c>
      <c r="G358" s="534"/>
      <c r="H358" s="287">
        <f>H359</f>
        <v>13927</v>
      </c>
    </row>
    <row r="359" spans="1:8" ht="18" x14ac:dyDescent="0.35">
      <c r="A359" s="506"/>
      <c r="B359" s="493" t="s">
        <v>59</v>
      </c>
      <c r="C359" s="525" t="s">
        <v>228</v>
      </c>
      <c r="D359" s="529" t="s">
        <v>32</v>
      </c>
      <c r="E359" s="529" t="s">
        <v>54</v>
      </c>
      <c r="F359" s="530" t="s">
        <v>692</v>
      </c>
      <c r="G359" s="534" t="s">
        <v>60</v>
      </c>
      <c r="H359" s="287">
        <f>'прил9 (ведом 22)'!M338</f>
        <v>13927</v>
      </c>
    </row>
    <row r="360" spans="1:8" ht="18" x14ac:dyDescent="0.35">
      <c r="A360" s="506"/>
      <c r="B360" s="178" t="s">
        <v>385</v>
      </c>
      <c r="C360" s="128" t="s">
        <v>228</v>
      </c>
      <c r="D360" s="129" t="s">
        <v>32</v>
      </c>
      <c r="E360" s="129" t="s">
        <v>228</v>
      </c>
      <c r="F360" s="130" t="s">
        <v>46</v>
      </c>
      <c r="G360" s="633"/>
      <c r="H360" s="287">
        <f>H361</f>
        <v>675.99999999999989</v>
      </c>
    </row>
    <row r="361" spans="1:8" ht="36" x14ac:dyDescent="0.35">
      <c r="A361" s="506"/>
      <c r="B361" s="222" t="s">
        <v>343</v>
      </c>
      <c r="C361" s="128" t="s">
        <v>228</v>
      </c>
      <c r="D361" s="129" t="s">
        <v>32</v>
      </c>
      <c r="E361" s="129" t="s">
        <v>228</v>
      </c>
      <c r="F361" s="130" t="s">
        <v>342</v>
      </c>
      <c r="G361" s="633"/>
      <c r="H361" s="287">
        <f>H362</f>
        <v>675.99999999999989</v>
      </c>
    </row>
    <row r="362" spans="1:8" ht="36" x14ac:dyDescent="0.35">
      <c r="A362" s="506"/>
      <c r="B362" s="135" t="s">
        <v>57</v>
      </c>
      <c r="C362" s="128" t="s">
        <v>228</v>
      </c>
      <c r="D362" s="129" t="s">
        <v>32</v>
      </c>
      <c r="E362" s="129" t="s">
        <v>228</v>
      </c>
      <c r="F362" s="130" t="s">
        <v>342</v>
      </c>
      <c r="G362" s="633" t="s">
        <v>58</v>
      </c>
      <c r="H362" s="287">
        <f>'прил9 (ведом 22)'!M341</f>
        <v>675.99999999999989</v>
      </c>
    </row>
    <row r="363" spans="1:8" ht="18" x14ac:dyDescent="0.35">
      <c r="A363" s="506"/>
      <c r="B363" s="480"/>
      <c r="C363" s="507"/>
      <c r="D363" s="653"/>
      <c r="E363" s="653"/>
      <c r="F363" s="654"/>
      <c r="G363" s="312"/>
      <c r="H363" s="287"/>
    </row>
    <row r="364" spans="1:8" s="471" customFormat="1" ht="52.2" x14ac:dyDescent="0.3">
      <c r="A364" s="481">
        <v>8</v>
      </c>
      <c r="B364" s="511" t="s">
        <v>298</v>
      </c>
      <c r="C364" s="482" t="s">
        <v>81</v>
      </c>
      <c r="D364" s="482" t="s">
        <v>44</v>
      </c>
      <c r="E364" s="482" t="s">
        <v>45</v>
      </c>
      <c r="F364" s="483" t="s">
        <v>46</v>
      </c>
      <c r="G364" s="470"/>
      <c r="H364" s="337">
        <f>H365</f>
        <v>139790.5</v>
      </c>
    </row>
    <row r="365" spans="1:8" ht="24.75" customHeight="1" x14ac:dyDescent="0.35">
      <c r="A365" s="461"/>
      <c r="B365" s="472" t="s">
        <v>345</v>
      </c>
      <c r="C365" s="541" t="s">
        <v>81</v>
      </c>
      <c r="D365" s="507" t="s">
        <v>47</v>
      </c>
      <c r="E365" s="507" t="s">
        <v>45</v>
      </c>
      <c r="F365" s="274" t="s">
        <v>46</v>
      </c>
      <c r="G365" s="312"/>
      <c r="H365" s="287">
        <f>H366+H379+H382+H392</f>
        <v>139790.5</v>
      </c>
    </row>
    <row r="366" spans="1:8" ht="36" x14ac:dyDescent="0.35">
      <c r="A366" s="461"/>
      <c r="B366" s="472" t="s">
        <v>287</v>
      </c>
      <c r="C366" s="272" t="s">
        <v>81</v>
      </c>
      <c r="D366" s="273" t="s">
        <v>47</v>
      </c>
      <c r="E366" s="273" t="s">
        <v>39</v>
      </c>
      <c r="F366" s="274" t="s">
        <v>46</v>
      </c>
      <c r="G366" s="312"/>
      <c r="H366" s="287">
        <f>H367+H370+H373+H376</f>
        <v>65283.799999999996</v>
      </c>
    </row>
    <row r="367" spans="1:8" ht="126" x14ac:dyDescent="0.35">
      <c r="A367" s="461"/>
      <c r="B367" s="616" t="s">
        <v>366</v>
      </c>
      <c r="C367" s="272" t="s">
        <v>81</v>
      </c>
      <c r="D367" s="273" t="s">
        <v>47</v>
      </c>
      <c r="E367" s="273" t="s">
        <v>39</v>
      </c>
      <c r="F367" s="274" t="s">
        <v>714</v>
      </c>
      <c r="G367" s="42"/>
      <c r="H367" s="287">
        <f>SUM(H368:H369)</f>
        <v>35369.600000000006</v>
      </c>
    </row>
    <row r="368" spans="1:8" ht="36" x14ac:dyDescent="0.35">
      <c r="A368" s="461"/>
      <c r="B368" s="617" t="s">
        <v>57</v>
      </c>
      <c r="C368" s="272" t="s">
        <v>81</v>
      </c>
      <c r="D368" s="273" t="s">
        <v>47</v>
      </c>
      <c r="E368" s="273" t="s">
        <v>39</v>
      </c>
      <c r="F368" s="274" t="s">
        <v>714</v>
      </c>
      <c r="G368" s="42" t="s">
        <v>58</v>
      </c>
      <c r="H368" s="287">
        <f>'прил9 (ведом 22)'!M737</f>
        <v>176.8</v>
      </c>
    </row>
    <row r="369" spans="1:8" ht="18" x14ac:dyDescent="0.35">
      <c r="A369" s="461"/>
      <c r="B369" s="472" t="s">
        <v>122</v>
      </c>
      <c r="C369" s="272" t="s">
        <v>81</v>
      </c>
      <c r="D369" s="273" t="s">
        <v>47</v>
      </c>
      <c r="E369" s="273" t="s">
        <v>39</v>
      </c>
      <c r="F369" s="274" t="s">
        <v>714</v>
      </c>
      <c r="G369" s="42" t="s">
        <v>123</v>
      </c>
      <c r="H369" s="287">
        <f>'прил9 (ведом 22)'!M738</f>
        <v>35192.800000000003</v>
      </c>
    </row>
    <row r="370" spans="1:8" ht="90" x14ac:dyDescent="0.35">
      <c r="A370" s="461"/>
      <c r="B370" s="472" t="s">
        <v>368</v>
      </c>
      <c r="C370" s="272" t="s">
        <v>81</v>
      </c>
      <c r="D370" s="273" t="s">
        <v>47</v>
      </c>
      <c r="E370" s="273" t="s">
        <v>39</v>
      </c>
      <c r="F370" s="274" t="s">
        <v>716</v>
      </c>
      <c r="G370" s="42"/>
      <c r="H370" s="287">
        <f>SUM(H371:H372)</f>
        <v>1437.7</v>
      </c>
    </row>
    <row r="371" spans="1:8" ht="36" x14ac:dyDescent="0.35">
      <c r="A371" s="461"/>
      <c r="B371" s="472" t="s">
        <v>57</v>
      </c>
      <c r="C371" s="272" t="s">
        <v>81</v>
      </c>
      <c r="D371" s="273" t="s">
        <v>47</v>
      </c>
      <c r="E371" s="273" t="s">
        <v>39</v>
      </c>
      <c r="F371" s="274" t="s">
        <v>716</v>
      </c>
      <c r="G371" s="42" t="s">
        <v>58</v>
      </c>
      <c r="H371" s="287">
        <f>'прил9 (ведом 22)'!M740</f>
        <v>7.2</v>
      </c>
    </row>
    <row r="372" spans="1:8" ht="18" x14ac:dyDescent="0.35">
      <c r="A372" s="461"/>
      <c r="B372" s="472" t="s">
        <v>122</v>
      </c>
      <c r="C372" s="272" t="s">
        <v>81</v>
      </c>
      <c r="D372" s="273" t="s">
        <v>47</v>
      </c>
      <c r="E372" s="273" t="s">
        <v>39</v>
      </c>
      <c r="F372" s="274" t="s">
        <v>716</v>
      </c>
      <c r="G372" s="42" t="s">
        <v>123</v>
      </c>
      <c r="H372" s="287">
        <f>'прил9 (ведом 22)'!M741</f>
        <v>1430.5</v>
      </c>
    </row>
    <row r="373" spans="1:8" ht="90" x14ac:dyDescent="0.35">
      <c r="A373" s="461"/>
      <c r="B373" s="472" t="s">
        <v>367</v>
      </c>
      <c r="C373" s="272" t="s">
        <v>81</v>
      </c>
      <c r="D373" s="273" t="s">
        <v>47</v>
      </c>
      <c r="E373" s="273" t="s">
        <v>39</v>
      </c>
      <c r="F373" s="274" t="s">
        <v>715</v>
      </c>
      <c r="G373" s="42"/>
      <c r="H373" s="287">
        <f>SUM(H374:H375)</f>
        <v>26725.899999999998</v>
      </c>
    </row>
    <row r="374" spans="1:8" ht="36" x14ac:dyDescent="0.35">
      <c r="A374" s="461"/>
      <c r="B374" s="617" t="s">
        <v>57</v>
      </c>
      <c r="C374" s="272" t="s">
        <v>81</v>
      </c>
      <c r="D374" s="273" t="s">
        <v>47</v>
      </c>
      <c r="E374" s="273" t="s">
        <v>39</v>
      </c>
      <c r="F374" s="274" t="s">
        <v>715</v>
      </c>
      <c r="G374" s="42" t="s">
        <v>58</v>
      </c>
      <c r="H374" s="287">
        <f>'прил9 (ведом 22)'!M743</f>
        <v>133.6</v>
      </c>
    </row>
    <row r="375" spans="1:8" ht="18" x14ac:dyDescent="0.35">
      <c r="A375" s="461"/>
      <c r="B375" s="472" t="s">
        <v>122</v>
      </c>
      <c r="C375" s="272" t="s">
        <v>81</v>
      </c>
      <c r="D375" s="273" t="s">
        <v>47</v>
      </c>
      <c r="E375" s="273" t="s">
        <v>39</v>
      </c>
      <c r="F375" s="274" t="s">
        <v>715</v>
      </c>
      <c r="G375" s="42" t="s">
        <v>123</v>
      </c>
      <c r="H375" s="287">
        <f>'прил9 (ведом 22)'!M744</f>
        <v>26592.3</v>
      </c>
    </row>
    <row r="376" spans="1:8" ht="108" x14ac:dyDescent="0.35">
      <c r="A376" s="461"/>
      <c r="B376" s="472" t="s">
        <v>374</v>
      </c>
      <c r="C376" s="272" t="s">
        <v>81</v>
      </c>
      <c r="D376" s="273" t="s">
        <v>47</v>
      </c>
      <c r="E376" s="273" t="s">
        <v>39</v>
      </c>
      <c r="F376" s="274" t="s">
        <v>717</v>
      </c>
      <c r="G376" s="42"/>
      <c r="H376" s="287">
        <f>SUM(H377:H378)</f>
        <v>1750.6</v>
      </c>
    </row>
    <row r="377" spans="1:8" ht="36" x14ac:dyDescent="0.35">
      <c r="A377" s="461"/>
      <c r="B377" s="472" t="s">
        <v>57</v>
      </c>
      <c r="C377" s="272" t="s">
        <v>81</v>
      </c>
      <c r="D377" s="273" t="s">
        <v>47</v>
      </c>
      <c r="E377" s="273" t="s">
        <v>39</v>
      </c>
      <c r="F377" s="274" t="s">
        <v>717</v>
      </c>
      <c r="G377" s="42" t="s">
        <v>58</v>
      </c>
      <c r="H377" s="287">
        <f>'прил9 (ведом 22)'!M746</f>
        <v>8.6</v>
      </c>
    </row>
    <row r="378" spans="1:8" ht="17.25" customHeight="1" x14ac:dyDescent="0.35">
      <c r="A378" s="461"/>
      <c r="B378" s="472" t="s">
        <v>122</v>
      </c>
      <c r="C378" s="272" t="s">
        <v>81</v>
      </c>
      <c r="D378" s="273" t="s">
        <v>47</v>
      </c>
      <c r="E378" s="273" t="s">
        <v>39</v>
      </c>
      <c r="F378" s="274" t="s">
        <v>717</v>
      </c>
      <c r="G378" s="42" t="s">
        <v>123</v>
      </c>
      <c r="H378" s="287">
        <f>'прил9 (ведом 22)'!M747</f>
        <v>1742</v>
      </c>
    </row>
    <row r="379" spans="1:8" ht="72" x14ac:dyDescent="0.35">
      <c r="A379" s="461"/>
      <c r="B379" s="517" t="s">
        <v>303</v>
      </c>
      <c r="C379" s="543" t="s">
        <v>81</v>
      </c>
      <c r="D379" s="544" t="s">
        <v>47</v>
      </c>
      <c r="E379" s="544" t="s">
        <v>41</v>
      </c>
      <c r="F379" s="545" t="s">
        <v>46</v>
      </c>
      <c r="G379" s="546"/>
      <c r="H379" s="287">
        <f>H380</f>
        <v>64679.4</v>
      </c>
    </row>
    <row r="380" spans="1:8" ht="90" x14ac:dyDescent="0.35">
      <c r="A380" s="461"/>
      <c r="B380" s="493" t="s">
        <v>480</v>
      </c>
      <c r="C380" s="593" t="s">
        <v>81</v>
      </c>
      <c r="D380" s="594" t="s">
        <v>47</v>
      </c>
      <c r="E380" s="594" t="s">
        <v>41</v>
      </c>
      <c r="F380" s="595" t="s">
        <v>481</v>
      </c>
      <c r="G380" s="596"/>
      <c r="H380" s="287">
        <f>H381</f>
        <v>64679.4</v>
      </c>
    </row>
    <row r="381" spans="1:8" ht="36" x14ac:dyDescent="0.35">
      <c r="A381" s="461"/>
      <c r="B381" s="493" t="s">
        <v>205</v>
      </c>
      <c r="C381" s="473" t="s">
        <v>81</v>
      </c>
      <c r="D381" s="474" t="s">
        <v>47</v>
      </c>
      <c r="E381" s="474" t="s">
        <v>41</v>
      </c>
      <c r="F381" s="475" t="s">
        <v>481</v>
      </c>
      <c r="G381" s="476" t="s">
        <v>206</v>
      </c>
      <c r="H381" s="287">
        <f>'прил9 (ведом 22)'!M391</f>
        <v>64679.4</v>
      </c>
    </row>
    <row r="382" spans="1:8" ht="36" x14ac:dyDescent="0.35">
      <c r="A382" s="461"/>
      <c r="B382" s="472" t="s">
        <v>231</v>
      </c>
      <c r="C382" s="272" t="s">
        <v>81</v>
      </c>
      <c r="D382" s="273" t="s">
        <v>47</v>
      </c>
      <c r="E382" s="273" t="s">
        <v>65</v>
      </c>
      <c r="F382" s="274" t="s">
        <v>46</v>
      </c>
      <c r="G382" s="42"/>
      <c r="H382" s="287">
        <f>H383+H386+H389</f>
        <v>8627.2999999999993</v>
      </c>
    </row>
    <row r="383" spans="1:8" ht="234" x14ac:dyDescent="0.35">
      <c r="A383" s="461"/>
      <c r="B383" s="472" t="s">
        <v>234</v>
      </c>
      <c r="C383" s="272" t="s">
        <v>81</v>
      </c>
      <c r="D383" s="273" t="s">
        <v>47</v>
      </c>
      <c r="E383" s="273" t="s">
        <v>65</v>
      </c>
      <c r="F383" s="274" t="s">
        <v>718</v>
      </c>
      <c r="G383" s="42"/>
      <c r="H383" s="287">
        <f>SUM(H384:H385)</f>
        <v>984.5</v>
      </c>
    </row>
    <row r="384" spans="1:8" ht="90" x14ac:dyDescent="0.35">
      <c r="A384" s="461"/>
      <c r="B384" s="472" t="s">
        <v>51</v>
      </c>
      <c r="C384" s="272" t="s">
        <v>81</v>
      </c>
      <c r="D384" s="273" t="s">
        <v>47</v>
      </c>
      <c r="E384" s="273" t="s">
        <v>65</v>
      </c>
      <c r="F384" s="274" t="s">
        <v>718</v>
      </c>
      <c r="G384" s="42" t="s">
        <v>52</v>
      </c>
      <c r="H384" s="287">
        <f>'прил9 (ведом 22)'!M753</f>
        <v>924.5</v>
      </c>
    </row>
    <row r="385" spans="1:8" ht="36" x14ac:dyDescent="0.35">
      <c r="A385" s="461"/>
      <c r="B385" s="472" t="s">
        <v>57</v>
      </c>
      <c r="C385" s="272" t="s">
        <v>81</v>
      </c>
      <c r="D385" s="273" t="s">
        <v>47</v>
      </c>
      <c r="E385" s="273" t="s">
        <v>65</v>
      </c>
      <c r="F385" s="274" t="s">
        <v>718</v>
      </c>
      <c r="G385" s="42" t="s">
        <v>58</v>
      </c>
      <c r="H385" s="287">
        <f>'прил9 (ведом 22)'!M754</f>
        <v>60</v>
      </c>
    </row>
    <row r="386" spans="1:8" ht="90" x14ac:dyDescent="0.35">
      <c r="A386" s="461"/>
      <c r="B386" s="83" t="s">
        <v>535</v>
      </c>
      <c r="C386" s="272" t="s">
        <v>81</v>
      </c>
      <c r="D386" s="273" t="s">
        <v>47</v>
      </c>
      <c r="E386" s="273" t="s">
        <v>65</v>
      </c>
      <c r="F386" s="274" t="s">
        <v>712</v>
      </c>
      <c r="G386" s="42"/>
      <c r="H386" s="287">
        <f>SUM(H387:H388)</f>
        <v>723.6</v>
      </c>
    </row>
    <row r="387" spans="1:8" ht="90" x14ac:dyDescent="0.35">
      <c r="A387" s="461"/>
      <c r="B387" s="472" t="s">
        <v>51</v>
      </c>
      <c r="C387" s="272" t="s">
        <v>81</v>
      </c>
      <c r="D387" s="273" t="s">
        <v>47</v>
      </c>
      <c r="E387" s="273" t="s">
        <v>65</v>
      </c>
      <c r="F387" s="274" t="s">
        <v>712</v>
      </c>
      <c r="G387" s="42" t="s">
        <v>52</v>
      </c>
      <c r="H387" s="287">
        <f>'прил9 (ведом 22)'!M756</f>
        <v>693.6</v>
      </c>
    </row>
    <row r="388" spans="1:8" ht="36" x14ac:dyDescent="0.35">
      <c r="A388" s="461"/>
      <c r="B388" s="472" t="s">
        <v>57</v>
      </c>
      <c r="C388" s="272" t="s">
        <v>81</v>
      </c>
      <c r="D388" s="273" t="s">
        <v>47</v>
      </c>
      <c r="E388" s="273" t="s">
        <v>65</v>
      </c>
      <c r="F388" s="274" t="s">
        <v>712</v>
      </c>
      <c r="G388" s="42" t="s">
        <v>58</v>
      </c>
      <c r="H388" s="287">
        <f>'прил9 (ведом 22)'!M757</f>
        <v>30</v>
      </c>
    </row>
    <row r="389" spans="1:8" ht="72" x14ac:dyDescent="0.35">
      <c r="A389" s="461"/>
      <c r="B389" s="472" t="s">
        <v>233</v>
      </c>
      <c r="C389" s="272" t="s">
        <v>81</v>
      </c>
      <c r="D389" s="273" t="s">
        <v>47</v>
      </c>
      <c r="E389" s="273" t="s">
        <v>65</v>
      </c>
      <c r="F389" s="274" t="s">
        <v>713</v>
      </c>
      <c r="G389" s="42"/>
      <c r="H389" s="287">
        <f>H390+H391</f>
        <v>6919.2</v>
      </c>
    </row>
    <row r="390" spans="1:8" ht="90" x14ac:dyDescent="0.35">
      <c r="A390" s="461"/>
      <c r="B390" s="472" t="s">
        <v>51</v>
      </c>
      <c r="C390" s="272" t="s">
        <v>81</v>
      </c>
      <c r="D390" s="273" t="s">
        <v>47</v>
      </c>
      <c r="E390" s="273" t="s">
        <v>65</v>
      </c>
      <c r="F390" s="274" t="s">
        <v>713</v>
      </c>
      <c r="G390" s="42" t="s">
        <v>52</v>
      </c>
      <c r="H390" s="287">
        <f>'прил9 (ведом 22)'!M759</f>
        <v>6559.2</v>
      </c>
    </row>
    <row r="391" spans="1:8" ht="36" x14ac:dyDescent="0.35">
      <c r="A391" s="461"/>
      <c r="B391" s="472" t="s">
        <v>57</v>
      </c>
      <c r="C391" s="618" t="s">
        <v>81</v>
      </c>
      <c r="D391" s="619" t="s">
        <v>47</v>
      </c>
      <c r="E391" s="619" t="s">
        <v>65</v>
      </c>
      <c r="F391" s="620" t="s">
        <v>713</v>
      </c>
      <c r="G391" s="42" t="s">
        <v>58</v>
      </c>
      <c r="H391" s="287">
        <f>'прил9 (ведом 22)'!M760</f>
        <v>360</v>
      </c>
    </row>
    <row r="392" spans="1:8" ht="72" x14ac:dyDescent="0.35">
      <c r="A392" s="506"/>
      <c r="B392" s="501" t="s">
        <v>522</v>
      </c>
      <c r="C392" s="272" t="s">
        <v>81</v>
      </c>
      <c r="D392" s="273" t="s">
        <v>47</v>
      </c>
      <c r="E392" s="273" t="s">
        <v>54</v>
      </c>
      <c r="F392" s="274" t="s">
        <v>46</v>
      </c>
      <c r="G392" s="42"/>
      <c r="H392" s="287">
        <f>H393</f>
        <v>1200</v>
      </c>
    </row>
    <row r="393" spans="1:8" ht="72" x14ac:dyDescent="0.35">
      <c r="A393" s="506"/>
      <c r="B393" s="501" t="s">
        <v>517</v>
      </c>
      <c r="C393" s="272" t="s">
        <v>81</v>
      </c>
      <c r="D393" s="273" t="s">
        <v>47</v>
      </c>
      <c r="E393" s="273" t="s">
        <v>54</v>
      </c>
      <c r="F393" s="274" t="s">
        <v>365</v>
      </c>
      <c r="G393" s="42"/>
      <c r="H393" s="287">
        <f>H394</f>
        <v>1200</v>
      </c>
    </row>
    <row r="394" spans="1:8" ht="23.25" customHeight="1" x14ac:dyDescent="0.35">
      <c r="A394" s="506"/>
      <c r="B394" s="478" t="s">
        <v>122</v>
      </c>
      <c r="C394" s="272" t="s">
        <v>81</v>
      </c>
      <c r="D394" s="273" t="s">
        <v>47</v>
      </c>
      <c r="E394" s="273" t="s">
        <v>54</v>
      </c>
      <c r="F394" s="274" t="s">
        <v>365</v>
      </c>
      <c r="G394" s="42" t="s">
        <v>123</v>
      </c>
      <c r="H394" s="287">
        <f>'прил9 (ведом 22)'!M205</f>
        <v>1200</v>
      </c>
    </row>
    <row r="395" spans="1:8" ht="18" x14ac:dyDescent="0.35">
      <c r="A395" s="461"/>
      <c r="B395" s="472"/>
      <c r="C395" s="273"/>
      <c r="D395" s="273"/>
      <c r="E395" s="273"/>
      <c r="F395" s="274"/>
      <c r="G395" s="42"/>
      <c r="H395" s="287"/>
    </row>
    <row r="396" spans="1:8" ht="69.599999999999994" x14ac:dyDescent="0.3">
      <c r="A396" s="481">
        <v>9</v>
      </c>
      <c r="B396" s="492" t="s">
        <v>338</v>
      </c>
      <c r="C396" s="482" t="s">
        <v>106</v>
      </c>
      <c r="D396" s="482" t="s">
        <v>44</v>
      </c>
      <c r="E396" s="482" t="s">
        <v>45</v>
      </c>
      <c r="F396" s="483" t="s">
        <v>46</v>
      </c>
      <c r="G396" s="552"/>
      <c r="H396" s="337">
        <f>H397+H403+H407+H411</f>
        <v>60148.2</v>
      </c>
    </row>
    <row r="397" spans="1:8" ht="36" x14ac:dyDescent="0.35">
      <c r="A397" s="481"/>
      <c r="B397" s="472" t="s">
        <v>340</v>
      </c>
      <c r="C397" s="272" t="s">
        <v>106</v>
      </c>
      <c r="D397" s="273" t="s">
        <v>47</v>
      </c>
      <c r="E397" s="273" t="s">
        <v>45</v>
      </c>
      <c r="F397" s="274" t="s">
        <v>46</v>
      </c>
      <c r="G397" s="42"/>
      <c r="H397" s="287">
        <f>H398</f>
        <v>13384.6</v>
      </c>
    </row>
    <row r="398" spans="1:8" ht="54" x14ac:dyDescent="0.35">
      <c r="A398" s="481"/>
      <c r="B398" s="285" t="s">
        <v>382</v>
      </c>
      <c r="C398" s="272" t="s">
        <v>106</v>
      </c>
      <c r="D398" s="273" t="s">
        <v>47</v>
      </c>
      <c r="E398" s="273" t="s">
        <v>39</v>
      </c>
      <c r="F398" s="274" t="s">
        <v>46</v>
      </c>
      <c r="G398" s="42"/>
      <c r="H398" s="287">
        <f>H399+H401</f>
        <v>13384.6</v>
      </c>
    </row>
    <row r="399" spans="1:8" ht="54" x14ac:dyDescent="0.35">
      <c r="A399" s="481"/>
      <c r="B399" s="135" t="s">
        <v>742</v>
      </c>
      <c r="C399" s="115" t="s">
        <v>106</v>
      </c>
      <c r="D399" s="116" t="s">
        <v>47</v>
      </c>
      <c r="E399" s="116" t="s">
        <v>39</v>
      </c>
      <c r="F399" s="141" t="s">
        <v>741</v>
      </c>
      <c r="G399" s="118"/>
      <c r="H399" s="287">
        <f>H400</f>
        <v>1029.7</v>
      </c>
    </row>
    <row r="400" spans="1:8" ht="36" x14ac:dyDescent="0.35">
      <c r="A400" s="481"/>
      <c r="B400" s="135" t="s">
        <v>205</v>
      </c>
      <c r="C400" s="115" t="s">
        <v>106</v>
      </c>
      <c r="D400" s="116" t="s">
        <v>47</v>
      </c>
      <c r="E400" s="116" t="s">
        <v>39</v>
      </c>
      <c r="F400" s="141" t="s">
        <v>741</v>
      </c>
      <c r="G400" s="118" t="s">
        <v>206</v>
      </c>
      <c r="H400" s="287">
        <f>'прил9 (ведом 22)'!M361</f>
        <v>1029.7</v>
      </c>
    </row>
    <row r="401" spans="1:8" ht="54" x14ac:dyDescent="0.35">
      <c r="A401" s="481"/>
      <c r="B401" s="517" t="s">
        <v>642</v>
      </c>
      <c r="C401" s="473" t="s">
        <v>106</v>
      </c>
      <c r="D401" s="474" t="s">
        <v>47</v>
      </c>
      <c r="E401" s="474" t="s">
        <v>39</v>
      </c>
      <c r="F401" s="475" t="s">
        <v>479</v>
      </c>
      <c r="G401" s="476"/>
      <c r="H401" s="287">
        <f>SUM(H402:H402)</f>
        <v>12354.9</v>
      </c>
    </row>
    <row r="402" spans="1:8" ht="36" x14ac:dyDescent="0.35">
      <c r="A402" s="597"/>
      <c r="B402" s="598" t="s">
        <v>205</v>
      </c>
      <c r="C402" s="514" t="s">
        <v>106</v>
      </c>
      <c r="D402" s="515" t="s">
        <v>47</v>
      </c>
      <c r="E402" s="515" t="s">
        <v>39</v>
      </c>
      <c r="F402" s="599" t="s">
        <v>479</v>
      </c>
      <c r="G402" s="600" t="s">
        <v>206</v>
      </c>
      <c r="H402" s="601">
        <f>'прил9 (ведом 22)'!M363</f>
        <v>12354.9</v>
      </c>
    </row>
    <row r="403" spans="1:8" ht="18" x14ac:dyDescent="0.35">
      <c r="A403" s="597"/>
      <c r="B403" s="270" t="s">
        <v>345</v>
      </c>
      <c r="C403" s="272" t="s">
        <v>106</v>
      </c>
      <c r="D403" s="273" t="s">
        <v>32</v>
      </c>
      <c r="E403" s="273" t="s">
        <v>45</v>
      </c>
      <c r="F403" s="274" t="s">
        <v>46</v>
      </c>
      <c r="G403" s="602"/>
      <c r="H403" s="601">
        <f>H404</f>
        <v>2109.1999999999998</v>
      </c>
    </row>
    <row r="404" spans="1:8" ht="36" x14ac:dyDescent="0.35">
      <c r="A404" s="597"/>
      <c r="B404" s="603" t="s">
        <v>648</v>
      </c>
      <c r="C404" s="272" t="s">
        <v>106</v>
      </c>
      <c r="D404" s="273" t="s">
        <v>32</v>
      </c>
      <c r="E404" s="273" t="s">
        <v>228</v>
      </c>
      <c r="F404" s="274" t="s">
        <v>46</v>
      </c>
      <c r="G404" s="602"/>
      <c r="H404" s="601">
        <f>H405</f>
        <v>2109.1999999999998</v>
      </c>
    </row>
    <row r="405" spans="1:8" ht="18" x14ac:dyDescent="0.35">
      <c r="A405" s="597"/>
      <c r="B405" s="603" t="s">
        <v>649</v>
      </c>
      <c r="C405" s="272" t="s">
        <v>106</v>
      </c>
      <c r="D405" s="273" t="s">
        <v>32</v>
      </c>
      <c r="E405" s="273" t="s">
        <v>228</v>
      </c>
      <c r="F405" s="274" t="s">
        <v>647</v>
      </c>
      <c r="G405" s="602"/>
      <c r="H405" s="601">
        <f>H406</f>
        <v>2109.1999999999998</v>
      </c>
    </row>
    <row r="406" spans="1:8" ht="36" x14ac:dyDescent="0.35">
      <c r="A406" s="597"/>
      <c r="B406" s="603" t="s">
        <v>57</v>
      </c>
      <c r="C406" s="272" t="s">
        <v>106</v>
      </c>
      <c r="D406" s="273" t="s">
        <v>32</v>
      </c>
      <c r="E406" s="273" t="s">
        <v>228</v>
      </c>
      <c r="F406" s="274" t="s">
        <v>647</v>
      </c>
      <c r="G406" s="602" t="s">
        <v>58</v>
      </c>
      <c r="H406" s="275">
        <f>'прил9 (ведом 22)'!M187</f>
        <v>2109.1999999999998</v>
      </c>
    </row>
    <row r="407" spans="1:8" ht="54" x14ac:dyDescent="0.35">
      <c r="A407" s="597"/>
      <c r="B407" s="285" t="s">
        <v>637</v>
      </c>
      <c r="C407" s="272" t="s">
        <v>106</v>
      </c>
      <c r="D407" s="273" t="s">
        <v>36</v>
      </c>
      <c r="E407" s="273" t="s">
        <v>45</v>
      </c>
      <c r="F407" s="274" t="s">
        <v>46</v>
      </c>
      <c r="G407" s="42"/>
      <c r="H407" s="601">
        <f>H408</f>
        <v>1224.5</v>
      </c>
    </row>
    <row r="408" spans="1:8" ht="36" x14ac:dyDescent="0.35">
      <c r="A408" s="597"/>
      <c r="B408" s="285" t="s">
        <v>638</v>
      </c>
      <c r="C408" s="272" t="s">
        <v>106</v>
      </c>
      <c r="D408" s="273" t="s">
        <v>36</v>
      </c>
      <c r="E408" s="273" t="s">
        <v>39</v>
      </c>
      <c r="F408" s="274" t="s">
        <v>46</v>
      </c>
      <c r="G408" s="42"/>
      <c r="H408" s="601">
        <f>H409</f>
        <v>1224.5</v>
      </c>
    </row>
    <row r="409" spans="1:8" ht="36" x14ac:dyDescent="0.35">
      <c r="A409" s="597"/>
      <c r="B409" s="285" t="s">
        <v>639</v>
      </c>
      <c r="C409" s="272" t="s">
        <v>106</v>
      </c>
      <c r="D409" s="273" t="s">
        <v>36</v>
      </c>
      <c r="E409" s="273" t="s">
        <v>39</v>
      </c>
      <c r="F409" s="274" t="s">
        <v>640</v>
      </c>
      <c r="G409" s="42"/>
      <c r="H409" s="601">
        <f>H410</f>
        <v>1224.5</v>
      </c>
    </row>
    <row r="410" spans="1:8" ht="36" x14ac:dyDescent="0.35">
      <c r="A410" s="597"/>
      <c r="B410" s="285" t="s">
        <v>57</v>
      </c>
      <c r="C410" s="272" t="s">
        <v>106</v>
      </c>
      <c r="D410" s="273" t="s">
        <v>36</v>
      </c>
      <c r="E410" s="273" t="s">
        <v>39</v>
      </c>
      <c r="F410" s="274" t="s">
        <v>640</v>
      </c>
      <c r="G410" s="42" t="s">
        <v>58</v>
      </c>
      <c r="H410" s="601">
        <f>'прил9 (ведом 22)'!M191</f>
        <v>1224.5</v>
      </c>
    </row>
    <row r="411" spans="1:8" ht="36" x14ac:dyDescent="0.35">
      <c r="A411" s="597"/>
      <c r="B411" s="604" t="s">
        <v>568</v>
      </c>
      <c r="C411" s="272" t="s">
        <v>106</v>
      </c>
      <c r="D411" s="273" t="s">
        <v>569</v>
      </c>
      <c r="E411" s="273" t="s">
        <v>45</v>
      </c>
      <c r="F411" s="274" t="s">
        <v>46</v>
      </c>
      <c r="G411" s="42"/>
      <c r="H411" s="601">
        <f>H412+H415</f>
        <v>43429.899999999994</v>
      </c>
    </row>
    <row r="412" spans="1:8" ht="36" x14ac:dyDescent="0.35">
      <c r="A412" s="597"/>
      <c r="B412" s="31" t="s">
        <v>750</v>
      </c>
      <c r="C412" s="272" t="s">
        <v>106</v>
      </c>
      <c r="D412" s="273" t="s">
        <v>569</v>
      </c>
      <c r="E412" s="273" t="s">
        <v>39</v>
      </c>
      <c r="F412" s="274" t="s">
        <v>46</v>
      </c>
      <c r="G412" s="42"/>
      <c r="H412" s="601">
        <f>H413</f>
        <v>10.199999999999999</v>
      </c>
    </row>
    <row r="413" spans="1:8" ht="54" x14ac:dyDescent="0.35">
      <c r="A413" s="597"/>
      <c r="B413" s="31" t="s">
        <v>751</v>
      </c>
      <c r="C413" s="272" t="s">
        <v>106</v>
      </c>
      <c r="D413" s="273" t="s">
        <v>569</v>
      </c>
      <c r="E413" s="273" t="s">
        <v>39</v>
      </c>
      <c r="F413" s="274" t="s">
        <v>749</v>
      </c>
      <c r="G413" s="42"/>
      <c r="H413" s="601">
        <f>H414</f>
        <v>10.199999999999999</v>
      </c>
    </row>
    <row r="414" spans="1:8" ht="36" x14ac:dyDescent="0.35">
      <c r="A414" s="597"/>
      <c r="B414" s="31" t="s">
        <v>57</v>
      </c>
      <c r="C414" s="272" t="s">
        <v>106</v>
      </c>
      <c r="D414" s="273" t="s">
        <v>569</v>
      </c>
      <c r="E414" s="273" t="s">
        <v>39</v>
      </c>
      <c r="F414" s="274" t="s">
        <v>749</v>
      </c>
      <c r="G414" s="42" t="s">
        <v>58</v>
      </c>
      <c r="H414" s="601">
        <f>'прил9 (ведом 22)'!M65</f>
        <v>10.199999999999999</v>
      </c>
    </row>
    <row r="415" spans="1:8" ht="54" x14ac:dyDescent="0.35">
      <c r="A415" s="597"/>
      <c r="B415" s="285" t="s">
        <v>560</v>
      </c>
      <c r="C415" s="272" t="s">
        <v>106</v>
      </c>
      <c r="D415" s="273" t="s">
        <v>569</v>
      </c>
      <c r="E415" s="273" t="s">
        <v>557</v>
      </c>
      <c r="F415" s="274" t="s">
        <v>46</v>
      </c>
      <c r="G415" s="42"/>
      <c r="H415" s="601">
        <f>H416+H418+H420</f>
        <v>43419.7</v>
      </c>
    </row>
    <row r="416" spans="1:8" ht="90" x14ac:dyDescent="0.35">
      <c r="A416" s="597"/>
      <c r="B416" s="285" t="s">
        <v>561</v>
      </c>
      <c r="C416" s="272" t="s">
        <v>106</v>
      </c>
      <c r="D416" s="273" t="s">
        <v>569</v>
      </c>
      <c r="E416" s="273" t="s">
        <v>557</v>
      </c>
      <c r="F416" s="274" t="s">
        <v>558</v>
      </c>
      <c r="G416" s="42"/>
      <c r="H416" s="601">
        <f>H417</f>
        <v>21532.7</v>
      </c>
    </row>
    <row r="417" spans="1:8" ht="36" x14ac:dyDescent="0.35">
      <c r="A417" s="597"/>
      <c r="B417" s="285" t="s">
        <v>205</v>
      </c>
      <c r="C417" s="272" t="s">
        <v>106</v>
      </c>
      <c r="D417" s="273" t="s">
        <v>569</v>
      </c>
      <c r="E417" s="273" t="s">
        <v>557</v>
      </c>
      <c r="F417" s="274" t="s">
        <v>558</v>
      </c>
      <c r="G417" s="42" t="s">
        <v>206</v>
      </c>
      <c r="H417" s="601">
        <f>'прил9 (ведом 22)'!M177</f>
        <v>21532.7</v>
      </c>
    </row>
    <row r="418" spans="1:8" ht="90" x14ac:dyDescent="0.35">
      <c r="A418" s="597"/>
      <c r="B418" s="285" t="s">
        <v>561</v>
      </c>
      <c r="C418" s="272" t="s">
        <v>106</v>
      </c>
      <c r="D418" s="273" t="s">
        <v>569</v>
      </c>
      <c r="E418" s="273" t="s">
        <v>557</v>
      </c>
      <c r="F418" s="274" t="s">
        <v>559</v>
      </c>
      <c r="G418" s="42"/>
      <c r="H418" s="601">
        <f>H419</f>
        <v>15225.8</v>
      </c>
    </row>
    <row r="419" spans="1:8" ht="36" x14ac:dyDescent="0.35">
      <c r="A419" s="597"/>
      <c r="B419" s="573" t="s">
        <v>205</v>
      </c>
      <c r="C419" s="272" t="s">
        <v>106</v>
      </c>
      <c r="D419" s="273" t="s">
        <v>569</v>
      </c>
      <c r="E419" s="273" t="s">
        <v>557</v>
      </c>
      <c r="F419" s="274" t="s">
        <v>559</v>
      </c>
      <c r="G419" s="42" t="s">
        <v>206</v>
      </c>
      <c r="H419" s="601">
        <f>'прил9 (ведом 22)'!M179</f>
        <v>15225.8</v>
      </c>
    </row>
    <row r="420" spans="1:8" ht="90" x14ac:dyDescent="0.35">
      <c r="A420" s="597"/>
      <c r="B420" s="285" t="s">
        <v>561</v>
      </c>
      <c r="C420" s="272" t="s">
        <v>106</v>
      </c>
      <c r="D420" s="273" t="s">
        <v>569</v>
      </c>
      <c r="E420" s="273" t="s">
        <v>557</v>
      </c>
      <c r="F420" s="274" t="s">
        <v>680</v>
      </c>
      <c r="G420" s="42"/>
      <c r="H420" s="601">
        <f>H421</f>
        <v>6661.2000000000007</v>
      </c>
    </row>
    <row r="421" spans="1:8" ht="36" x14ac:dyDescent="0.35">
      <c r="A421" s="597"/>
      <c r="B421" s="285" t="s">
        <v>205</v>
      </c>
      <c r="C421" s="272" t="s">
        <v>106</v>
      </c>
      <c r="D421" s="273" t="s">
        <v>569</v>
      </c>
      <c r="E421" s="273" t="s">
        <v>557</v>
      </c>
      <c r="F421" s="274" t="s">
        <v>680</v>
      </c>
      <c r="G421" s="42" t="s">
        <v>206</v>
      </c>
      <c r="H421" s="601">
        <f>'прил9 (ведом 22)'!M181</f>
        <v>6661.2000000000007</v>
      </c>
    </row>
    <row r="422" spans="1:8" ht="18" x14ac:dyDescent="0.35">
      <c r="A422" s="597"/>
      <c r="B422" s="285"/>
      <c r="C422" s="273"/>
      <c r="D422" s="273"/>
      <c r="E422" s="273"/>
      <c r="F422" s="274"/>
      <c r="G422" s="42"/>
      <c r="H422" s="601"/>
    </row>
    <row r="423" spans="1:8" s="471" customFormat="1" ht="52.2" x14ac:dyDescent="0.3">
      <c r="A423" s="481">
        <v>10</v>
      </c>
      <c r="B423" s="492" t="s">
        <v>96</v>
      </c>
      <c r="C423" s="482" t="s">
        <v>69</v>
      </c>
      <c r="D423" s="482" t="s">
        <v>44</v>
      </c>
      <c r="E423" s="482" t="s">
        <v>45</v>
      </c>
      <c r="F423" s="483" t="s">
        <v>46</v>
      </c>
      <c r="G423" s="552"/>
      <c r="H423" s="337">
        <f>H424</f>
        <v>22646.200000000004</v>
      </c>
    </row>
    <row r="424" spans="1:8" ht="18" x14ac:dyDescent="0.35">
      <c r="A424" s="461"/>
      <c r="B424" s="472" t="s">
        <v>345</v>
      </c>
      <c r="C424" s="272" t="s">
        <v>69</v>
      </c>
      <c r="D424" s="273" t="s">
        <v>47</v>
      </c>
      <c r="E424" s="273" t="s">
        <v>45</v>
      </c>
      <c r="F424" s="274" t="s">
        <v>46</v>
      </c>
      <c r="G424" s="489"/>
      <c r="H424" s="287">
        <f>H425+H428</f>
        <v>22646.200000000004</v>
      </c>
    </row>
    <row r="425" spans="1:8" ht="36" x14ac:dyDescent="0.35">
      <c r="A425" s="461"/>
      <c r="B425" s="472" t="s">
        <v>97</v>
      </c>
      <c r="C425" s="272" t="s">
        <v>69</v>
      </c>
      <c r="D425" s="273" t="s">
        <v>47</v>
      </c>
      <c r="E425" s="273" t="s">
        <v>39</v>
      </c>
      <c r="F425" s="274" t="s">
        <v>46</v>
      </c>
      <c r="G425" s="489"/>
      <c r="H425" s="287">
        <f>H426</f>
        <v>21095.300000000003</v>
      </c>
    </row>
    <row r="426" spans="1:8" ht="54" x14ac:dyDescent="0.35">
      <c r="A426" s="461"/>
      <c r="B426" s="553" t="s">
        <v>472</v>
      </c>
      <c r="C426" s="272" t="s">
        <v>69</v>
      </c>
      <c r="D426" s="273" t="s">
        <v>47</v>
      </c>
      <c r="E426" s="273" t="s">
        <v>39</v>
      </c>
      <c r="F426" s="274" t="s">
        <v>63</v>
      </c>
      <c r="G426" s="42"/>
      <c r="H426" s="287">
        <f>H427</f>
        <v>21095.300000000003</v>
      </c>
    </row>
    <row r="427" spans="1:8" ht="18" x14ac:dyDescent="0.35">
      <c r="A427" s="461"/>
      <c r="B427" s="472" t="s">
        <v>59</v>
      </c>
      <c r="C427" s="272" t="s">
        <v>69</v>
      </c>
      <c r="D427" s="273" t="s">
        <v>47</v>
      </c>
      <c r="E427" s="273" t="s">
        <v>39</v>
      </c>
      <c r="F427" s="274" t="s">
        <v>63</v>
      </c>
      <c r="G427" s="42" t="s">
        <v>60</v>
      </c>
      <c r="H427" s="287">
        <f>'прил9 (ведом 22)'!M134</f>
        <v>21095.300000000003</v>
      </c>
    </row>
    <row r="428" spans="1:8" ht="54" x14ac:dyDescent="0.35">
      <c r="A428" s="461"/>
      <c r="B428" s="472" t="s">
        <v>98</v>
      </c>
      <c r="C428" s="272" t="s">
        <v>69</v>
      </c>
      <c r="D428" s="273" t="s">
        <v>47</v>
      </c>
      <c r="E428" s="273" t="s">
        <v>41</v>
      </c>
      <c r="F428" s="274" t="s">
        <v>46</v>
      </c>
      <c r="G428" s="42"/>
      <c r="H428" s="287">
        <f>H429</f>
        <v>1550.9</v>
      </c>
    </row>
    <row r="429" spans="1:8" ht="162" x14ac:dyDescent="0.35">
      <c r="A429" s="461"/>
      <c r="B429" s="285" t="s">
        <v>690</v>
      </c>
      <c r="C429" s="272" t="s">
        <v>69</v>
      </c>
      <c r="D429" s="273" t="s">
        <v>47</v>
      </c>
      <c r="E429" s="273" t="s">
        <v>41</v>
      </c>
      <c r="F429" s="274" t="s">
        <v>99</v>
      </c>
      <c r="G429" s="42"/>
      <c r="H429" s="287">
        <f>H430</f>
        <v>1550.9</v>
      </c>
    </row>
    <row r="430" spans="1:8" ht="36" x14ac:dyDescent="0.35">
      <c r="A430" s="461"/>
      <c r="B430" s="472" t="s">
        <v>57</v>
      </c>
      <c r="C430" s="272" t="s">
        <v>69</v>
      </c>
      <c r="D430" s="273" t="s">
        <v>47</v>
      </c>
      <c r="E430" s="273" t="s">
        <v>41</v>
      </c>
      <c r="F430" s="274" t="s">
        <v>99</v>
      </c>
      <c r="G430" s="42" t="s">
        <v>58</v>
      </c>
      <c r="H430" s="287">
        <f>'прил9 (ведом 22)'!M137</f>
        <v>1550.9</v>
      </c>
    </row>
    <row r="431" spans="1:8" ht="18" x14ac:dyDescent="0.35">
      <c r="A431" s="461"/>
      <c r="B431" s="480"/>
      <c r="C431" s="653"/>
      <c r="D431" s="653"/>
      <c r="E431" s="653"/>
      <c r="F431" s="654"/>
      <c r="G431" s="312"/>
      <c r="H431" s="287"/>
    </row>
    <row r="432" spans="1:8" s="471" customFormat="1" ht="52.2" x14ac:dyDescent="0.3">
      <c r="A432" s="481">
        <v>11</v>
      </c>
      <c r="B432" s="492" t="s">
        <v>101</v>
      </c>
      <c r="C432" s="482" t="s">
        <v>102</v>
      </c>
      <c r="D432" s="482" t="s">
        <v>44</v>
      </c>
      <c r="E432" s="482" t="s">
        <v>45</v>
      </c>
      <c r="F432" s="483" t="s">
        <v>46</v>
      </c>
      <c r="G432" s="470"/>
      <c r="H432" s="337">
        <f>H433</f>
        <v>9619.9220000000005</v>
      </c>
    </row>
    <row r="433" spans="1:8" s="471" customFormat="1" ht="27.75" customHeight="1" x14ac:dyDescent="0.35">
      <c r="A433" s="461"/>
      <c r="B433" s="472" t="s">
        <v>345</v>
      </c>
      <c r="C433" s="272" t="s">
        <v>102</v>
      </c>
      <c r="D433" s="273" t="s">
        <v>47</v>
      </c>
      <c r="E433" s="273" t="s">
        <v>45</v>
      </c>
      <c r="F433" s="274" t="s">
        <v>46</v>
      </c>
      <c r="G433" s="42"/>
      <c r="H433" s="287">
        <f>H434</f>
        <v>9619.9220000000005</v>
      </c>
    </row>
    <row r="434" spans="1:8" s="471" customFormat="1" ht="72" x14ac:dyDescent="0.35">
      <c r="A434" s="461"/>
      <c r="B434" s="472" t="s">
        <v>103</v>
      </c>
      <c r="C434" s="272" t="s">
        <v>102</v>
      </c>
      <c r="D434" s="273" t="s">
        <v>47</v>
      </c>
      <c r="E434" s="273" t="s">
        <v>39</v>
      </c>
      <c r="F434" s="274" t="s">
        <v>46</v>
      </c>
      <c r="G434" s="42"/>
      <c r="H434" s="287">
        <f>H435</f>
        <v>9619.9220000000005</v>
      </c>
    </row>
    <row r="435" spans="1:8" s="471" customFormat="1" ht="72" x14ac:dyDescent="0.35">
      <c r="A435" s="461"/>
      <c r="B435" s="484" t="s">
        <v>104</v>
      </c>
      <c r="C435" s="272" t="s">
        <v>102</v>
      </c>
      <c r="D435" s="273" t="s">
        <v>47</v>
      </c>
      <c r="E435" s="273" t="s">
        <v>39</v>
      </c>
      <c r="F435" s="274" t="s">
        <v>105</v>
      </c>
      <c r="G435" s="42"/>
      <c r="H435" s="287">
        <f>H436</f>
        <v>9619.9220000000005</v>
      </c>
    </row>
    <row r="436" spans="1:8" ht="36" x14ac:dyDescent="0.35">
      <c r="A436" s="461"/>
      <c r="B436" s="472" t="s">
        <v>57</v>
      </c>
      <c r="C436" s="272" t="s">
        <v>102</v>
      </c>
      <c r="D436" s="273" t="s">
        <v>47</v>
      </c>
      <c r="E436" s="273" t="s">
        <v>39</v>
      </c>
      <c r="F436" s="274" t="s">
        <v>105</v>
      </c>
      <c r="G436" s="42" t="s">
        <v>58</v>
      </c>
      <c r="H436" s="287">
        <f>'прил9 (ведом 22)'!M143</f>
        <v>9619.9220000000005</v>
      </c>
    </row>
    <row r="437" spans="1:8" ht="18" x14ac:dyDescent="0.35">
      <c r="A437" s="461"/>
      <c r="B437" s="480"/>
      <c r="C437" s="653"/>
      <c r="D437" s="653"/>
      <c r="E437" s="653"/>
      <c r="F437" s="654"/>
      <c r="G437" s="312"/>
      <c r="H437" s="287"/>
    </row>
    <row r="438" spans="1:8" s="471" customFormat="1" ht="69.599999999999994" x14ac:dyDescent="0.3">
      <c r="A438" s="481">
        <v>12</v>
      </c>
      <c r="B438" s="492" t="s">
        <v>109</v>
      </c>
      <c r="C438" s="482" t="s">
        <v>73</v>
      </c>
      <c r="D438" s="482" t="s">
        <v>44</v>
      </c>
      <c r="E438" s="482" t="s">
        <v>45</v>
      </c>
      <c r="F438" s="483" t="s">
        <v>46</v>
      </c>
      <c r="G438" s="470"/>
      <c r="H438" s="337">
        <f>H439+H443</f>
        <v>1025.0999999999999</v>
      </c>
    </row>
    <row r="439" spans="1:8" s="471" customFormat="1" ht="36" x14ac:dyDescent="0.35">
      <c r="A439" s="461"/>
      <c r="B439" s="498" t="s">
        <v>110</v>
      </c>
      <c r="C439" s="272" t="s">
        <v>73</v>
      </c>
      <c r="D439" s="273" t="s">
        <v>47</v>
      </c>
      <c r="E439" s="273" t="s">
        <v>45</v>
      </c>
      <c r="F439" s="274" t="s">
        <v>46</v>
      </c>
      <c r="G439" s="42"/>
      <c r="H439" s="287">
        <f>H440</f>
        <v>310</v>
      </c>
    </row>
    <row r="440" spans="1:8" s="471" customFormat="1" ht="36" x14ac:dyDescent="0.35">
      <c r="A440" s="461"/>
      <c r="B440" s="472" t="s">
        <v>111</v>
      </c>
      <c r="C440" s="272" t="s">
        <v>73</v>
      </c>
      <c r="D440" s="273" t="s">
        <v>47</v>
      </c>
      <c r="E440" s="273" t="s">
        <v>39</v>
      </c>
      <c r="F440" s="274" t="s">
        <v>46</v>
      </c>
      <c r="G440" s="42"/>
      <c r="H440" s="287">
        <f>H441</f>
        <v>310</v>
      </c>
    </row>
    <row r="441" spans="1:8" s="471" customFormat="1" ht="36" x14ac:dyDescent="0.35">
      <c r="A441" s="461"/>
      <c r="B441" s="498" t="s">
        <v>112</v>
      </c>
      <c r="C441" s="272" t="s">
        <v>73</v>
      </c>
      <c r="D441" s="273" t="s">
        <v>47</v>
      </c>
      <c r="E441" s="273" t="s">
        <v>39</v>
      </c>
      <c r="F441" s="274" t="s">
        <v>113</v>
      </c>
      <c r="G441" s="42"/>
      <c r="H441" s="287">
        <f>SUM(H442:H442)</f>
        <v>310</v>
      </c>
    </row>
    <row r="442" spans="1:8" s="471" customFormat="1" ht="36" x14ac:dyDescent="0.35">
      <c r="A442" s="461"/>
      <c r="B442" s="472" t="s">
        <v>57</v>
      </c>
      <c r="C442" s="272" t="s">
        <v>73</v>
      </c>
      <c r="D442" s="273" t="s">
        <v>47</v>
      </c>
      <c r="E442" s="273" t="s">
        <v>39</v>
      </c>
      <c r="F442" s="274" t="s">
        <v>113</v>
      </c>
      <c r="G442" s="42" t="s">
        <v>58</v>
      </c>
      <c r="H442" s="287">
        <f>'прил9 (ведом 22)'!M149</f>
        <v>310</v>
      </c>
    </row>
    <row r="443" spans="1:8" s="471" customFormat="1" ht="19.2" customHeight="1" x14ac:dyDescent="0.35">
      <c r="A443" s="461"/>
      <c r="B443" s="498" t="s">
        <v>114</v>
      </c>
      <c r="C443" s="272" t="s">
        <v>73</v>
      </c>
      <c r="D443" s="273" t="s">
        <v>91</v>
      </c>
      <c r="E443" s="273" t="s">
        <v>45</v>
      </c>
      <c r="F443" s="274" t="s">
        <v>46</v>
      </c>
      <c r="G443" s="42"/>
      <c r="H443" s="287">
        <f>H444</f>
        <v>715.1</v>
      </c>
    </row>
    <row r="444" spans="1:8" s="471" customFormat="1" ht="36" x14ac:dyDescent="0.35">
      <c r="A444" s="461"/>
      <c r="B444" s="498" t="s">
        <v>115</v>
      </c>
      <c r="C444" s="272" t="s">
        <v>73</v>
      </c>
      <c r="D444" s="273" t="s">
        <v>91</v>
      </c>
      <c r="E444" s="273" t="s">
        <v>39</v>
      </c>
      <c r="F444" s="274" t="s">
        <v>46</v>
      </c>
      <c r="G444" s="42"/>
      <c r="H444" s="287">
        <f>H445</f>
        <v>715.1</v>
      </c>
    </row>
    <row r="445" spans="1:8" s="471" customFormat="1" ht="72" x14ac:dyDescent="0.35">
      <c r="A445" s="461"/>
      <c r="B445" s="498" t="s">
        <v>116</v>
      </c>
      <c r="C445" s="272" t="s">
        <v>73</v>
      </c>
      <c r="D445" s="273" t="s">
        <v>91</v>
      </c>
      <c r="E445" s="273" t="s">
        <v>39</v>
      </c>
      <c r="F445" s="274" t="s">
        <v>117</v>
      </c>
      <c r="G445" s="42"/>
      <c r="H445" s="287">
        <f>H446</f>
        <v>715.1</v>
      </c>
    </row>
    <row r="446" spans="1:8" ht="36" x14ac:dyDescent="0.35">
      <c r="A446" s="461"/>
      <c r="B446" s="472" t="s">
        <v>57</v>
      </c>
      <c r="C446" s="272" t="s">
        <v>73</v>
      </c>
      <c r="D446" s="273" t="s">
        <v>91</v>
      </c>
      <c r="E446" s="273" t="s">
        <v>39</v>
      </c>
      <c r="F446" s="274" t="s">
        <v>117</v>
      </c>
      <c r="G446" s="42" t="s">
        <v>58</v>
      </c>
      <c r="H446" s="287">
        <f>'прил9 (ведом 22)'!M153</f>
        <v>715.1</v>
      </c>
    </row>
    <row r="447" spans="1:8" ht="18" x14ac:dyDescent="0.35">
      <c r="A447" s="461"/>
      <c r="B447" s="480"/>
      <c r="C447" s="653"/>
      <c r="D447" s="653"/>
      <c r="E447" s="653"/>
      <c r="F447" s="654"/>
      <c r="G447" s="312"/>
      <c r="H447" s="287"/>
    </row>
    <row r="448" spans="1:8" s="471" customFormat="1" ht="59.25" customHeight="1" x14ac:dyDescent="0.3">
      <c r="A448" s="481">
        <v>13</v>
      </c>
      <c r="B448" s="492" t="s">
        <v>118</v>
      </c>
      <c r="C448" s="482" t="s">
        <v>90</v>
      </c>
      <c r="D448" s="482" t="s">
        <v>44</v>
      </c>
      <c r="E448" s="482" t="s">
        <v>45</v>
      </c>
      <c r="F448" s="483" t="s">
        <v>46</v>
      </c>
      <c r="G448" s="470"/>
      <c r="H448" s="337">
        <f>H449</f>
        <v>5774.5000000000009</v>
      </c>
    </row>
    <row r="449" spans="1:8" s="471" customFormat="1" ht="31.5" customHeight="1" x14ac:dyDescent="0.35">
      <c r="A449" s="461"/>
      <c r="B449" s="472" t="s">
        <v>345</v>
      </c>
      <c r="C449" s="272" t="s">
        <v>90</v>
      </c>
      <c r="D449" s="273" t="s">
        <v>47</v>
      </c>
      <c r="E449" s="273" t="s">
        <v>45</v>
      </c>
      <c r="F449" s="274" t="s">
        <v>46</v>
      </c>
      <c r="G449" s="42"/>
      <c r="H449" s="287">
        <f>H450</f>
        <v>5774.5000000000009</v>
      </c>
    </row>
    <row r="450" spans="1:8" s="471" customFormat="1" ht="54" x14ac:dyDescent="0.35">
      <c r="A450" s="461"/>
      <c r="B450" s="498" t="s">
        <v>311</v>
      </c>
      <c r="C450" s="272" t="s">
        <v>90</v>
      </c>
      <c r="D450" s="273" t="s">
        <v>47</v>
      </c>
      <c r="E450" s="273" t="s">
        <v>39</v>
      </c>
      <c r="F450" s="274" t="s">
        <v>46</v>
      </c>
      <c r="G450" s="42"/>
      <c r="H450" s="287">
        <f>H451+H453</f>
        <v>5774.5000000000009</v>
      </c>
    </row>
    <row r="451" spans="1:8" s="471" customFormat="1" ht="54" x14ac:dyDescent="0.35">
      <c r="A451" s="461"/>
      <c r="B451" s="498" t="s">
        <v>119</v>
      </c>
      <c r="C451" s="272" t="s">
        <v>90</v>
      </c>
      <c r="D451" s="273" t="s">
        <v>47</v>
      </c>
      <c r="E451" s="273" t="s">
        <v>39</v>
      </c>
      <c r="F451" s="274" t="s">
        <v>120</v>
      </c>
      <c r="G451" s="42"/>
      <c r="H451" s="287">
        <f>H452</f>
        <v>4952.2000000000007</v>
      </c>
    </row>
    <row r="452" spans="1:8" ht="36" x14ac:dyDescent="0.35">
      <c r="A452" s="461"/>
      <c r="B452" s="472" t="s">
        <v>57</v>
      </c>
      <c r="C452" s="272" t="s">
        <v>90</v>
      </c>
      <c r="D452" s="273" t="s">
        <v>47</v>
      </c>
      <c r="E452" s="273" t="s">
        <v>39</v>
      </c>
      <c r="F452" s="274" t="s">
        <v>120</v>
      </c>
      <c r="G452" s="42" t="s">
        <v>58</v>
      </c>
      <c r="H452" s="287">
        <f>'прил9 (ведом 22)'!M158</f>
        <v>4952.2000000000007</v>
      </c>
    </row>
    <row r="453" spans="1:8" ht="72" x14ac:dyDescent="0.35">
      <c r="A453" s="461"/>
      <c r="B453" s="285" t="s">
        <v>691</v>
      </c>
      <c r="C453" s="272" t="s">
        <v>90</v>
      </c>
      <c r="D453" s="273" t="s">
        <v>47</v>
      </c>
      <c r="E453" s="273" t="s">
        <v>39</v>
      </c>
      <c r="F453" s="274" t="s">
        <v>689</v>
      </c>
      <c r="G453" s="42"/>
      <c r="H453" s="287">
        <f>H454</f>
        <v>822.3</v>
      </c>
    </row>
    <row r="454" spans="1:8" ht="36" x14ac:dyDescent="0.35">
      <c r="A454" s="461"/>
      <c r="B454" s="285" t="s">
        <v>57</v>
      </c>
      <c r="C454" s="272" t="s">
        <v>90</v>
      </c>
      <c r="D454" s="273" t="s">
        <v>47</v>
      </c>
      <c r="E454" s="273" t="s">
        <v>39</v>
      </c>
      <c r="F454" s="274" t="s">
        <v>689</v>
      </c>
      <c r="G454" s="42" t="s">
        <v>58</v>
      </c>
      <c r="H454" s="287">
        <f>'прил9 (ведом 22)'!M160</f>
        <v>822.3</v>
      </c>
    </row>
    <row r="455" spans="1:8" s="471" customFormat="1" ht="18" x14ac:dyDescent="0.35">
      <c r="A455" s="461"/>
      <c r="B455" s="478"/>
      <c r="C455" s="653"/>
      <c r="D455" s="653"/>
      <c r="E455" s="653"/>
      <c r="F455" s="654"/>
      <c r="G455" s="312"/>
      <c r="H455" s="287"/>
    </row>
    <row r="456" spans="1:8" s="471" customFormat="1" ht="69.599999999999994" x14ac:dyDescent="0.3">
      <c r="A456" s="481">
        <v>14</v>
      </c>
      <c r="B456" s="492" t="s">
        <v>74</v>
      </c>
      <c r="C456" s="482" t="s">
        <v>75</v>
      </c>
      <c r="D456" s="482" t="s">
        <v>44</v>
      </c>
      <c r="E456" s="482" t="s">
        <v>45</v>
      </c>
      <c r="F456" s="483" t="s">
        <v>46</v>
      </c>
      <c r="G456" s="470"/>
      <c r="H456" s="337">
        <f>H457</f>
        <v>1331.3000000000002</v>
      </c>
    </row>
    <row r="457" spans="1:8" ht="19.5" customHeight="1" x14ac:dyDescent="0.35">
      <c r="A457" s="461"/>
      <c r="B457" s="472" t="s">
        <v>345</v>
      </c>
      <c r="C457" s="272" t="s">
        <v>75</v>
      </c>
      <c r="D457" s="273" t="s">
        <v>47</v>
      </c>
      <c r="E457" s="273" t="s">
        <v>45</v>
      </c>
      <c r="F457" s="274" t="s">
        <v>46</v>
      </c>
      <c r="G457" s="42"/>
      <c r="H457" s="287">
        <f>H458</f>
        <v>1331.3000000000002</v>
      </c>
    </row>
    <row r="458" spans="1:8" ht="36" x14ac:dyDescent="0.35">
      <c r="A458" s="461"/>
      <c r="B458" s="501" t="s">
        <v>268</v>
      </c>
      <c r="C458" s="272" t="s">
        <v>75</v>
      </c>
      <c r="D458" s="273" t="s">
        <v>47</v>
      </c>
      <c r="E458" s="273" t="s">
        <v>39</v>
      </c>
      <c r="F458" s="274" t="s">
        <v>46</v>
      </c>
      <c r="G458" s="42"/>
      <c r="H458" s="287">
        <f>H459</f>
        <v>1331.3000000000002</v>
      </c>
    </row>
    <row r="459" spans="1:8" ht="36" x14ac:dyDescent="0.35">
      <c r="A459" s="461"/>
      <c r="B459" s="501" t="s">
        <v>76</v>
      </c>
      <c r="C459" s="272" t="s">
        <v>75</v>
      </c>
      <c r="D459" s="273" t="s">
        <v>47</v>
      </c>
      <c r="E459" s="273" t="s">
        <v>39</v>
      </c>
      <c r="F459" s="274" t="s">
        <v>77</v>
      </c>
      <c r="G459" s="42"/>
      <c r="H459" s="287">
        <f>H460</f>
        <v>1331.3000000000002</v>
      </c>
    </row>
    <row r="460" spans="1:8" ht="40.5" customHeight="1" x14ac:dyDescent="0.35">
      <c r="A460" s="461"/>
      <c r="B460" s="478" t="s">
        <v>78</v>
      </c>
      <c r="C460" s="272" t="s">
        <v>75</v>
      </c>
      <c r="D460" s="273" t="s">
        <v>47</v>
      </c>
      <c r="E460" s="273" t="s">
        <v>39</v>
      </c>
      <c r="F460" s="274" t="s">
        <v>77</v>
      </c>
      <c r="G460" s="42" t="s">
        <v>79</v>
      </c>
      <c r="H460" s="287">
        <f>'прил9 (ведом 22)'!M70+'прил9 (ведом 22)'!M211</f>
        <v>1331.3000000000002</v>
      </c>
    </row>
    <row r="461" spans="1:8" ht="18" x14ac:dyDescent="0.35">
      <c r="A461" s="461"/>
      <c r="B461" s="478"/>
      <c r="C461" s="653"/>
      <c r="D461" s="653"/>
      <c r="E461" s="653"/>
      <c r="F461" s="654"/>
      <c r="G461" s="312"/>
      <c r="H461" s="287"/>
    </row>
    <row r="462" spans="1:8" s="471" customFormat="1" ht="52.2" x14ac:dyDescent="0.3">
      <c r="A462" s="481">
        <v>15</v>
      </c>
      <c r="B462" s="492" t="s">
        <v>42</v>
      </c>
      <c r="C462" s="482" t="s">
        <v>43</v>
      </c>
      <c r="D462" s="482" t="s">
        <v>44</v>
      </c>
      <c r="E462" s="482" t="s">
        <v>45</v>
      </c>
      <c r="F462" s="483" t="s">
        <v>46</v>
      </c>
      <c r="G462" s="470"/>
      <c r="H462" s="337">
        <f>H463</f>
        <v>132303.92600000004</v>
      </c>
    </row>
    <row r="463" spans="1:8" s="471" customFormat="1" ht="30" customHeight="1" x14ac:dyDescent="0.35">
      <c r="A463" s="461"/>
      <c r="B463" s="472" t="s">
        <v>345</v>
      </c>
      <c r="C463" s="272" t="s">
        <v>43</v>
      </c>
      <c r="D463" s="273" t="s">
        <v>47</v>
      </c>
      <c r="E463" s="273" t="s">
        <v>45</v>
      </c>
      <c r="F463" s="274" t="s">
        <v>46</v>
      </c>
      <c r="G463" s="42"/>
      <c r="H463" s="287">
        <f>H464+H467+H488+H496+H501+H505+H508+H516+H519</f>
        <v>132303.92600000004</v>
      </c>
    </row>
    <row r="464" spans="1:8" s="471" customFormat="1" ht="36" x14ac:dyDescent="0.35">
      <c r="A464" s="461"/>
      <c r="B464" s="472" t="s">
        <v>48</v>
      </c>
      <c r="C464" s="272" t="s">
        <v>43</v>
      </c>
      <c r="D464" s="273" t="s">
        <v>47</v>
      </c>
      <c r="E464" s="273" t="s">
        <v>39</v>
      </c>
      <c r="F464" s="274" t="s">
        <v>46</v>
      </c>
      <c r="G464" s="42"/>
      <c r="H464" s="287">
        <f>H465</f>
        <v>2439.1999999999998</v>
      </c>
    </row>
    <row r="465" spans="1:8" s="471" customFormat="1" ht="36" x14ac:dyDescent="0.35">
      <c r="A465" s="461"/>
      <c r="B465" s="472" t="s">
        <v>49</v>
      </c>
      <c r="C465" s="272" t="s">
        <v>43</v>
      </c>
      <c r="D465" s="273" t="s">
        <v>47</v>
      </c>
      <c r="E465" s="273" t="s">
        <v>39</v>
      </c>
      <c r="F465" s="274" t="s">
        <v>50</v>
      </c>
      <c r="G465" s="42"/>
      <c r="H465" s="287">
        <f>H466</f>
        <v>2439.1999999999998</v>
      </c>
    </row>
    <row r="466" spans="1:8" s="471" customFormat="1" ht="90" x14ac:dyDescent="0.35">
      <c r="A466" s="461"/>
      <c r="B466" s="472" t="s">
        <v>51</v>
      </c>
      <c r="C466" s="272" t="s">
        <v>43</v>
      </c>
      <c r="D466" s="273" t="s">
        <v>47</v>
      </c>
      <c r="E466" s="273" t="s">
        <v>39</v>
      </c>
      <c r="F466" s="274" t="s">
        <v>50</v>
      </c>
      <c r="G466" s="42" t="s">
        <v>52</v>
      </c>
      <c r="H466" s="287">
        <f>'прил9 (ведом 22)'!M23</f>
        <v>2439.1999999999998</v>
      </c>
    </row>
    <row r="467" spans="1:8" s="471" customFormat="1" ht="36" x14ac:dyDescent="0.35">
      <c r="A467" s="461"/>
      <c r="B467" s="472" t="s">
        <v>56</v>
      </c>
      <c r="C467" s="272" t="s">
        <v>43</v>
      </c>
      <c r="D467" s="273" t="s">
        <v>47</v>
      </c>
      <c r="E467" s="273" t="s">
        <v>41</v>
      </c>
      <c r="F467" s="274" t="s">
        <v>46</v>
      </c>
      <c r="G467" s="42"/>
      <c r="H467" s="287">
        <f>H468+H476+H478+H480+H483+H474+H473+H485</f>
        <v>86439.926000000021</v>
      </c>
    </row>
    <row r="468" spans="1:8" s="471" customFormat="1" ht="36" x14ac:dyDescent="0.35">
      <c r="A468" s="461"/>
      <c r="B468" s="472" t="s">
        <v>49</v>
      </c>
      <c r="C468" s="272" t="s">
        <v>43</v>
      </c>
      <c r="D468" s="273" t="s">
        <v>47</v>
      </c>
      <c r="E468" s="273" t="s">
        <v>41</v>
      </c>
      <c r="F468" s="274" t="s">
        <v>50</v>
      </c>
      <c r="G468" s="42"/>
      <c r="H468" s="287">
        <f>SUM(H469:H471)</f>
        <v>79727.026000000013</v>
      </c>
    </row>
    <row r="469" spans="1:8" s="471" customFormat="1" ht="90" x14ac:dyDescent="0.35">
      <c r="A469" s="461"/>
      <c r="B469" s="472" t="s">
        <v>51</v>
      </c>
      <c r="C469" s="272" t="s">
        <v>43</v>
      </c>
      <c r="D469" s="273" t="s">
        <v>47</v>
      </c>
      <c r="E469" s="273" t="s">
        <v>41</v>
      </c>
      <c r="F469" s="274" t="s">
        <v>50</v>
      </c>
      <c r="G469" s="42" t="s">
        <v>52</v>
      </c>
      <c r="H469" s="287">
        <f>'прил9 (ведом 22)'!M29</f>
        <v>73851.800000000017</v>
      </c>
    </row>
    <row r="470" spans="1:8" ht="36" x14ac:dyDescent="0.35">
      <c r="A470" s="461"/>
      <c r="B470" s="472" t="s">
        <v>57</v>
      </c>
      <c r="C470" s="272" t="s">
        <v>43</v>
      </c>
      <c r="D470" s="273" t="s">
        <v>47</v>
      </c>
      <c r="E470" s="273" t="s">
        <v>41</v>
      </c>
      <c r="F470" s="274" t="s">
        <v>50</v>
      </c>
      <c r="G470" s="42" t="s">
        <v>58</v>
      </c>
      <c r="H470" s="287">
        <f>'прил9 (ведом 22)'!M30</f>
        <v>5774.326</v>
      </c>
    </row>
    <row r="471" spans="1:8" s="471" customFormat="1" ht="18" x14ac:dyDescent="0.35">
      <c r="A471" s="461"/>
      <c r="B471" s="472" t="s">
        <v>59</v>
      </c>
      <c r="C471" s="272" t="s">
        <v>43</v>
      </c>
      <c r="D471" s="273" t="s">
        <v>47</v>
      </c>
      <c r="E471" s="273" t="s">
        <v>41</v>
      </c>
      <c r="F471" s="274" t="s">
        <v>50</v>
      </c>
      <c r="G471" s="42" t="s">
        <v>60</v>
      </c>
      <c r="H471" s="287">
        <f>'прил9 (ведом 22)'!M31</f>
        <v>100.9</v>
      </c>
    </row>
    <row r="472" spans="1:8" s="471" customFormat="1" ht="18" x14ac:dyDescent="0.35">
      <c r="A472" s="461"/>
      <c r="B472" s="285" t="s">
        <v>541</v>
      </c>
      <c r="C472" s="272" t="s">
        <v>43</v>
      </c>
      <c r="D472" s="273" t="s">
        <v>47</v>
      </c>
      <c r="E472" s="273" t="s">
        <v>41</v>
      </c>
      <c r="F472" s="274" t="s">
        <v>399</v>
      </c>
      <c r="G472" s="42"/>
      <c r="H472" s="287">
        <f>H473</f>
        <v>1076.3</v>
      </c>
    </row>
    <row r="473" spans="1:8" s="471" customFormat="1" ht="36" x14ac:dyDescent="0.35">
      <c r="A473" s="461"/>
      <c r="B473" s="285" t="s">
        <v>57</v>
      </c>
      <c r="C473" s="272" t="s">
        <v>43</v>
      </c>
      <c r="D473" s="273" t="s">
        <v>47</v>
      </c>
      <c r="E473" s="273" t="s">
        <v>41</v>
      </c>
      <c r="F473" s="274" t="s">
        <v>399</v>
      </c>
      <c r="G473" s="42" t="s">
        <v>58</v>
      </c>
      <c r="H473" s="287">
        <f>'прил9 (ведом 22)'!M75+'прил9 (ведом 22)'!M33</f>
        <v>1076.3</v>
      </c>
    </row>
    <row r="474" spans="1:8" s="471" customFormat="1" ht="72" x14ac:dyDescent="0.35">
      <c r="A474" s="461"/>
      <c r="B474" s="285" t="s">
        <v>410</v>
      </c>
      <c r="C474" s="272" t="s">
        <v>43</v>
      </c>
      <c r="D474" s="273" t="s">
        <v>47</v>
      </c>
      <c r="E474" s="273" t="s">
        <v>41</v>
      </c>
      <c r="F474" s="274" t="s">
        <v>409</v>
      </c>
      <c r="G474" s="42"/>
      <c r="H474" s="287">
        <f>H475</f>
        <v>140</v>
      </c>
    </row>
    <row r="475" spans="1:8" s="471" customFormat="1" ht="36" x14ac:dyDescent="0.35">
      <c r="A475" s="461"/>
      <c r="B475" s="285" t="s">
        <v>57</v>
      </c>
      <c r="C475" s="272" t="s">
        <v>43</v>
      </c>
      <c r="D475" s="273" t="s">
        <v>47</v>
      </c>
      <c r="E475" s="273" t="s">
        <v>41</v>
      </c>
      <c r="F475" s="274" t="s">
        <v>409</v>
      </c>
      <c r="G475" s="42" t="s">
        <v>58</v>
      </c>
      <c r="H475" s="287">
        <f>'прил9 (ведом 22)'!M54</f>
        <v>140</v>
      </c>
    </row>
    <row r="476" spans="1:8" ht="90" x14ac:dyDescent="0.35">
      <c r="A476" s="461"/>
      <c r="B476" s="472" t="s">
        <v>518</v>
      </c>
      <c r="C476" s="272" t="s">
        <v>43</v>
      </c>
      <c r="D476" s="273" t="s">
        <v>47</v>
      </c>
      <c r="E476" s="273" t="s">
        <v>41</v>
      </c>
      <c r="F476" s="274" t="s">
        <v>267</v>
      </c>
      <c r="G476" s="42"/>
      <c r="H476" s="287">
        <f>H477</f>
        <v>63</v>
      </c>
    </row>
    <row r="477" spans="1:8" ht="36" x14ac:dyDescent="0.35">
      <c r="A477" s="461"/>
      <c r="B477" s="472" t="s">
        <v>57</v>
      </c>
      <c r="C477" s="272" t="s">
        <v>43</v>
      </c>
      <c r="D477" s="273" t="s">
        <v>47</v>
      </c>
      <c r="E477" s="273" t="s">
        <v>41</v>
      </c>
      <c r="F477" s="274" t="s">
        <v>267</v>
      </c>
      <c r="G477" s="42" t="s">
        <v>58</v>
      </c>
      <c r="H477" s="287">
        <f>'прил9 (ведом 22)'!M35</f>
        <v>63</v>
      </c>
    </row>
    <row r="478" spans="1:8" ht="162.75" customHeight="1" x14ac:dyDescent="0.35">
      <c r="A478" s="461"/>
      <c r="B478" s="553" t="s">
        <v>526</v>
      </c>
      <c r="C478" s="272" t="s">
        <v>43</v>
      </c>
      <c r="D478" s="273" t="s">
        <v>47</v>
      </c>
      <c r="E478" s="273" t="s">
        <v>41</v>
      </c>
      <c r="F478" s="274" t="s">
        <v>61</v>
      </c>
      <c r="G478" s="42"/>
      <c r="H478" s="287">
        <f>H479</f>
        <v>723.40000000000009</v>
      </c>
    </row>
    <row r="479" spans="1:8" ht="90" x14ac:dyDescent="0.35">
      <c r="A479" s="461"/>
      <c r="B479" s="285" t="s">
        <v>51</v>
      </c>
      <c r="C479" s="272" t="s">
        <v>43</v>
      </c>
      <c r="D479" s="273" t="s">
        <v>47</v>
      </c>
      <c r="E479" s="273" t="s">
        <v>41</v>
      </c>
      <c r="F479" s="274" t="s">
        <v>61</v>
      </c>
      <c r="G479" s="42" t="s">
        <v>52</v>
      </c>
      <c r="H479" s="287">
        <f>'прил9 (ведом 22)'!M37</f>
        <v>723.40000000000009</v>
      </c>
    </row>
    <row r="480" spans="1:8" ht="54" x14ac:dyDescent="0.35">
      <c r="A480" s="461"/>
      <c r="B480" s="285" t="s">
        <v>472</v>
      </c>
      <c r="C480" s="272" t="s">
        <v>43</v>
      </c>
      <c r="D480" s="273" t="s">
        <v>47</v>
      </c>
      <c r="E480" s="273" t="s">
        <v>41</v>
      </c>
      <c r="F480" s="274" t="s">
        <v>63</v>
      </c>
      <c r="G480" s="42"/>
      <c r="H480" s="287">
        <f>H481+H482</f>
        <v>723.6</v>
      </c>
    </row>
    <row r="481" spans="1:8" ht="90" x14ac:dyDescent="0.35">
      <c r="A481" s="461"/>
      <c r="B481" s="285" t="s">
        <v>51</v>
      </c>
      <c r="C481" s="272" t="s">
        <v>43</v>
      </c>
      <c r="D481" s="273" t="s">
        <v>47</v>
      </c>
      <c r="E481" s="273" t="s">
        <v>41</v>
      </c>
      <c r="F481" s="274" t="s">
        <v>63</v>
      </c>
      <c r="G481" s="42" t="s">
        <v>52</v>
      </c>
      <c r="H481" s="287">
        <f>'прил9 (ведом 22)'!M39</f>
        <v>719.2</v>
      </c>
    </row>
    <row r="482" spans="1:8" ht="36" x14ac:dyDescent="0.35">
      <c r="A482" s="461"/>
      <c r="B482" s="285" t="s">
        <v>57</v>
      </c>
      <c r="C482" s="272" t="s">
        <v>43</v>
      </c>
      <c r="D482" s="273" t="s">
        <v>47</v>
      </c>
      <c r="E482" s="273" t="s">
        <v>41</v>
      </c>
      <c r="F482" s="274" t="s">
        <v>63</v>
      </c>
      <c r="G482" s="42" t="s">
        <v>58</v>
      </c>
      <c r="H482" s="287">
        <f>'прил9 (ведом 22)'!M40</f>
        <v>4.4000000000000004</v>
      </c>
    </row>
    <row r="483" spans="1:8" ht="162" x14ac:dyDescent="0.35">
      <c r="A483" s="461"/>
      <c r="B483" s="285" t="s">
        <v>387</v>
      </c>
      <c r="C483" s="272" t="s">
        <v>43</v>
      </c>
      <c r="D483" s="273" t="s">
        <v>47</v>
      </c>
      <c r="E483" s="273" t="s">
        <v>41</v>
      </c>
      <c r="F483" s="274" t="s">
        <v>386</v>
      </c>
      <c r="G483" s="42"/>
      <c r="H483" s="287">
        <f>H484</f>
        <v>63</v>
      </c>
    </row>
    <row r="484" spans="1:8" ht="36" x14ac:dyDescent="0.35">
      <c r="A484" s="461"/>
      <c r="B484" s="285" t="s">
        <v>57</v>
      </c>
      <c r="C484" s="272" t="s">
        <v>43</v>
      </c>
      <c r="D484" s="273" t="s">
        <v>47</v>
      </c>
      <c r="E484" s="273" t="s">
        <v>41</v>
      </c>
      <c r="F484" s="274" t="s">
        <v>386</v>
      </c>
      <c r="G484" s="42" t="s">
        <v>58</v>
      </c>
      <c r="H484" s="287">
        <f>'прил9 (ведом 22)'!M42</f>
        <v>63</v>
      </c>
    </row>
    <row r="485" spans="1:8" ht="72" x14ac:dyDescent="0.35">
      <c r="A485" s="461"/>
      <c r="B485" s="472" t="s">
        <v>62</v>
      </c>
      <c r="C485" s="272" t="s">
        <v>43</v>
      </c>
      <c r="D485" s="273" t="s">
        <v>47</v>
      </c>
      <c r="E485" s="273" t="s">
        <v>41</v>
      </c>
      <c r="F485" s="274" t="s">
        <v>711</v>
      </c>
      <c r="G485" s="42"/>
      <c r="H485" s="287">
        <f>H486+H487</f>
        <v>3923.6</v>
      </c>
    </row>
    <row r="486" spans="1:8" ht="90" x14ac:dyDescent="0.35">
      <c r="A486" s="461"/>
      <c r="B486" s="472" t="s">
        <v>51</v>
      </c>
      <c r="C486" s="272" t="s">
        <v>43</v>
      </c>
      <c r="D486" s="273" t="s">
        <v>47</v>
      </c>
      <c r="E486" s="273" t="s">
        <v>41</v>
      </c>
      <c r="F486" s="274" t="s">
        <v>711</v>
      </c>
      <c r="G486" s="42" t="s">
        <v>52</v>
      </c>
      <c r="H486" s="287">
        <f>'прил9 (ведом 22)'!M44</f>
        <v>3732</v>
      </c>
    </row>
    <row r="487" spans="1:8" ht="36" x14ac:dyDescent="0.35">
      <c r="A487" s="461"/>
      <c r="B487" s="285" t="s">
        <v>57</v>
      </c>
      <c r="C487" s="272" t="s">
        <v>43</v>
      </c>
      <c r="D487" s="273" t="s">
        <v>47</v>
      </c>
      <c r="E487" s="273" t="s">
        <v>41</v>
      </c>
      <c r="F487" s="274" t="s">
        <v>711</v>
      </c>
      <c r="G487" s="42" t="s">
        <v>58</v>
      </c>
      <c r="H487" s="287">
        <f>'прил9 (ведом 22)'!M45</f>
        <v>191.6</v>
      </c>
    </row>
    <row r="488" spans="1:8" ht="18" x14ac:dyDescent="0.35">
      <c r="A488" s="461"/>
      <c r="B488" s="472" t="s">
        <v>64</v>
      </c>
      <c r="C488" s="272" t="s">
        <v>43</v>
      </c>
      <c r="D488" s="273" t="s">
        <v>47</v>
      </c>
      <c r="E488" s="273" t="s">
        <v>65</v>
      </c>
      <c r="F488" s="274" t="s">
        <v>46</v>
      </c>
      <c r="G488" s="42"/>
      <c r="H488" s="287">
        <f>H489+H491+H493</f>
        <v>1648.8</v>
      </c>
    </row>
    <row r="489" spans="1:8" ht="36" x14ac:dyDescent="0.35">
      <c r="A489" s="461"/>
      <c r="B489" s="472" t="s">
        <v>49</v>
      </c>
      <c r="C489" s="272" t="s">
        <v>43</v>
      </c>
      <c r="D489" s="273" t="s">
        <v>47</v>
      </c>
      <c r="E489" s="273" t="s">
        <v>65</v>
      </c>
      <c r="F489" s="274" t="s">
        <v>50</v>
      </c>
      <c r="G489" s="42"/>
      <c r="H489" s="287">
        <f>H490</f>
        <v>15</v>
      </c>
    </row>
    <row r="490" spans="1:8" ht="36" x14ac:dyDescent="0.35">
      <c r="A490" s="461"/>
      <c r="B490" s="472" t="s">
        <v>57</v>
      </c>
      <c r="C490" s="272" t="s">
        <v>43</v>
      </c>
      <c r="D490" s="273" t="s">
        <v>47</v>
      </c>
      <c r="E490" s="273" t="s">
        <v>65</v>
      </c>
      <c r="F490" s="274" t="s">
        <v>50</v>
      </c>
      <c r="G490" s="42" t="s">
        <v>58</v>
      </c>
      <c r="H490" s="287">
        <f>'прил9 (ведом 22)'!M48</f>
        <v>15</v>
      </c>
    </row>
    <row r="491" spans="1:8" ht="36" x14ac:dyDescent="0.35">
      <c r="A491" s="461"/>
      <c r="B491" s="31" t="s">
        <v>701</v>
      </c>
      <c r="C491" s="659" t="s">
        <v>43</v>
      </c>
      <c r="D491" s="660" t="s">
        <v>47</v>
      </c>
      <c r="E491" s="660" t="s">
        <v>65</v>
      </c>
      <c r="F491" s="661" t="s">
        <v>700</v>
      </c>
      <c r="G491" s="42"/>
      <c r="H491" s="287">
        <f>H492</f>
        <v>112.4</v>
      </c>
    </row>
    <row r="492" spans="1:8" ht="36" x14ac:dyDescent="0.35">
      <c r="A492" s="461"/>
      <c r="B492" s="31" t="s">
        <v>57</v>
      </c>
      <c r="C492" s="659" t="s">
        <v>43</v>
      </c>
      <c r="D492" s="660" t="s">
        <v>47</v>
      </c>
      <c r="E492" s="660" t="s">
        <v>65</v>
      </c>
      <c r="F492" s="661" t="s">
        <v>700</v>
      </c>
      <c r="G492" s="42" t="s">
        <v>58</v>
      </c>
      <c r="H492" s="287">
        <f>'прил9 (ведом 22)'!M198</f>
        <v>112.4</v>
      </c>
    </row>
    <row r="493" spans="1:8" ht="54" x14ac:dyDescent="0.35">
      <c r="A493" s="461"/>
      <c r="B493" s="285" t="s">
        <v>398</v>
      </c>
      <c r="C493" s="272" t="s">
        <v>43</v>
      </c>
      <c r="D493" s="273" t="s">
        <v>47</v>
      </c>
      <c r="E493" s="273" t="s">
        <v>65</v>
      </c>
      <c r="F493" s="274" t="s">
        <v>397</v>
      </c>
      <c r="G493" s="42"/>
      <c r="H493" s="287">
        <f>H494+H495</f>
        <v>1521.3999999999999</v>
      </c>
    </row>
    <row r="494" spans="1:8" ht="36" x14ac:dyDescent="0.35">
      <c r="A494" s="461"/>
      <c r="B494" s="285" t="s">
        <v>57</v>
      </c>
      <c r="C494" s="272" t="s">
        <v>43</v>
      </c>
      <c r="D494" s="273" t="s">
        <v>47</v>
      </c>
      <c r="E494" s="273" t="s">
        <v>65</v>
      </c>
      <c r="F494" s="274" t="s">
        <v>397</v>
      </c>
      <c r="G494" s="42" t="s">
        <v>58</v>
      </c>
      <c r="H494" s="287">
        <f>'прил9 (ведом 22)'!M78</f>
        <v>1293.0999999999999</v>
      </c>
    </row>
    <row r="495" spans="1:8" ht="18" x14ac:dyDescent="0.35">
      <c r="A495" s="461"/>
      <c r="B495" s="285" t="s">
        <v>59</v>
      </c>
      <c r="C495" s="272" t="s">
        <v>43</v>
      </c>
      <c r="D495" s="273" t="s">
        <v>47</v>
      </c>
      <c r="E495" s="273" t="s">
        <v>65</v>
      </c>
      <c r="F495" s="274" t="s">
        <v>397</v>
      </c>
      <c r="G495" s="42" t="s">
        <v>60</v>
      </c>
      <c r="H495" s="287">
        <f>'прил9 (ведом 22)'!M79</f>
        <v>228.3</v>
      </c>
    </row>
    <row r="496" spans="1:8" ht="18" x14ac:dyDescent="0.35">
      <c r="A496" s="461"/>
      <c r="B496" s="472" t="s">
        <v>66</v>
      </c>
      <c r="C496" s="272" t="s">
        <v>43</v>
      </c>
      <c r="D496" s="273" t="s">
        <v>47</v>
      </c>
      <c r="E496" s="273" t="s">
        <v>54</v>
      </c>
      <c r="F496" s="274" t="s">
        <v>46</v>
      </c>
      <c r="G496" s="42"/>
      <c r="H496" s="287">
        <f>H497+H499</f>
        <v>2943.1</v>
      </c>
    </row>
    <row r="497" spans="1:8" ht="54" x14ac:dyDescent="0.35">
      <c r="A497" s="461"/>
      <c r="B497" s="498" t="s">
        <v>361</v>
      </c>
      <c r="C497" s="272" t="s">
        <v>43</v>
      </c>
      <c r="D497" s="273" t="s">
        <v>47</v>
      </c>
      <c r="E497" s="273" t="s">
        <v>54</v>
      </c>
      <c r="F497" s="274" t="s">
        <v>107</v>
      </c>
      <c r="G497" s="42"/>
      <c r="H497" s="287">
        <f>H498</f>
        <v>948.3</v>
      </c>
    </row>
    <row r="498" spans="1:8" ht="36" x14ac:dyDescent="0.35">
      <c r="A498" s="461"/>
      <c r="B498" s="472" t="s">
        <v>57</v>
      </c>
      <c r="C498" s="272" t="s">
        <v>43</v>
      </c>
      <c r="D498" s="273" t="s">
        <v>47</v>
      </c>
      <c r="E498" s="273" t="s">
        <v>54</v>
      </c>
      <c r="F498" s="274" t="s">
        <v>107</v>
      </c>
      <c r="G498" s="42" t="s">
        <v>58</v>
      </c>
      <c r="H498" s="287">
        <f>'прил9 (ведом 22)'!M82</f>
        <v>948.3</v>
      </c>
    </row>
    <row r="499" spans="1:8" ht="54" x14ac:dyDescent="0.35">
      <c r="A499" s="461"/>
      <c r="B499" s="472" t="s">
        <v>363</v>
      </c>
      <c r="C499" s="272" t="s">
        <v>43</v>
      </c>
      <c r="D499" s="273" t="s">
        <v>47</v>
      </c>
      <c r="E499" s="273" t="s">
        <v>54</v>
      </c>
      <c r="F499" s="274" t="s">
        <v>362</v>
      </c>
      <c r="G499" s="42"/>
      <c r="H499" s="287">
        <f>H500</f>
        <v>1994.8</v>
      </c>
    </row>
    <row r="500" spans="1:8" ht="36" x14ac:dyDescent="0.35">
      <c r="A500" s="461"/>
      <c r="B500" s="472" t="s">
        <v>57</v>
      </c>
      <c r="C500" s="272" t="s">
        <v>43</v>
      </c>
      <c r="D500" s="273" t="s">
        <v>47</v>
      </c>
      <c r="E500" s="273" t="s">
        <v>54</v>
      </c>
      <c r="F500" s="274" t="s">
        <v>362</v>
      </c>
      <c r="G500" s="42" t="s">
        <v>58</v>
      </c>
      <c r="H500" s="287">
        <f>'прил9 (ведом 22)'!M84</f>
        <v>1994.8</v>
      </c>
    </row>
    <row r="501" spans="1:8" ht="51" customHeight="1" x14ac:dyDescent="0.35">
      <c r="A501" s="506"/>
      <c r="B501" s="519" t="s">
        <v>302</v>
      </c>
      <c r="C501" s="486" t="s">
        <v>43</v>
      </c>
      <c r="D501" s="507" t="s">
        <v>47</v>
      </c>
      <c r="E501" s="507" t="s">
        <v>83</v>
      </c>
      <c r="F501" s="520" t="s">
        <v>46</v>
      </c>
      <c r="G501" s="521"/>
      <c r="H501" s="287">
        <f>H502</f>
        <v>5965.0000000000009</v>
      </c>
    </row>
    <row r="502" spans="1:8" ht="36" x14ac:dyDescent="0.35">
      <c r="A502" s="506"/>
      <c r="B502" s="472" t="s">
        <v>540</v>
      </c>
      <c r="C502" s="486" t="s">
        <v>43</v>
      </c>
      <c r="D502" s="507" t="s">
        <v>47</v>
      </c>
      <c r="E502" s="507" t="s">
        <v>83</v>
      </c>
      <c r="F502" s="520" t="s">
        <v>93</v>
      </c>
      <c r="G502" s="521"/>
      <c r="H502" s="287">
        <f>SUM(H503:H504)</f>
        <v>5965.0000000000009</v>
      </c>
    </row>
    <row r="503" spans="1:8" ht="90" x14ac:dyDescent="0.35">
      <c r="A503" s="506"/>
      <c r="B503" s="519" t="s">
        <v>51</v>
      </c>
      <c r="C503" s="486" t="s">
        <v>43</v>
      </c>
      <c r="D503" s="507" t="s">
        <v>47</v>
      </c>
      <c r="E503" s="507" t="s">
        <v>83</v>
      </c>
      <c r="F503" s="520" t="s">
        <v>93</v>
      </c>
      <c r="G503" s="521" t="s">
        <v>52</v>
      </c>
      <c r="H503" s="287">
        <f>'прил9 (ведом 22)'!M346</f>
        <v>5494.4000000000005</v>
      </c>
    </row>
    <row r="504" spans="1:8" ht="36" x14ac:dyDescent="0.35">
      <c r="A504" s="506"/>
      <c r="B504" s="472" t="s">
        <v>57</v>
      </c>
      <c r="C504" s="486" t="s">
        <v>43</v>
      </c>
      <c r="D504" s="507" t="s">
        <v>47</v>
      </c>
      <c r="E504" s="507" t="s">
        <v>83</v>
      </c>
      <c r="F504" s="520" t="s">
        <v>93</v>
      </c>
      <c r="G504" s="521" t="s">
        <v>58</v>
      </c>
      <c r="H504" s="287">
        <f>'прил9 (ведом 22)'!M347</f>
        <v>470.6</v>
      </c>
    </row>
    <row r="505" spans="1:8" ht="38.25" customHeight="1" x14ac:dyDescent="0.35">
      <c r="A505" s="506"/>
      <c r="B505" s="485" t="s">
        <v>392</v>
      </c>
      <c r="C505" s="272" t="s">
        <v>43</v>
      </c>
      <c r="D505" s="273" t="s">
        <v>47</v>
      </c>
      <c r="E505" s="273" t="s">
        <v>81</v>
      </c>
      <c r="F505" s="274" t="s">
        <v>46</v>
      </c>
      <c r="G505" s="42"/>
      <c r="H505" s="287">
        <f>H506</f>
        <v>9.4</v>
      </c>
    </row>
    <row r="506" spans="1:8" ht="18" x14ac:dyDescent="0.35">
      <c r="A506" s="506"/>
      <c r="B506" s="485" t="s">
        <v>393</v>
      </c>
      <c r="C506" s="272" t="s">
        <v>43</v>
      </c>
      <c r="D506" s="273" t="s">
        <v>47</v>
      </c>
      <c r="E506" s="273" t="s">
        <v>81</v>
      </c>
      <c r="F506" s="274" t="s">
        <v>394</v>
      </c>
      <c r="G506" s="42"/>
      <c r="H506" s="287">
        <f>H507</f>
        <v>9.4</v>
      </c>
    </row>
    <row r="507" spans="1:8" ht="36" x14ac:dyDescent="0.35">
      <c r="A507" s="506"/>
      <c r="B507" s="485" t="s">
        <v>395</v>
      </c>
      <c r="C507" s="272" t="s">
        <v>43</v>
      </c>
      <c r="D507" s="273" t="s">
        <v>47</v>
      </c>
      <c r="E507" s="273" t="s">
        <v>81</v>
      </c>
      <c r="F507" s="274" t="s">
        <v>394</v>
      </c>
      <c r="G507" s="42" t="s">
        <v>396</v>
      </c>
      <c r="H507" s="287">
        <f>'прил9 (ведом 22)'!M218</f>
        <v>9.4</v>
      </c>
    </row>
    <row r="508" spans="1:8" ht="36" x14ac:dyDescent="0.35">
      <c r="A508" s="506"/>
      <c r="B508" s="285" t="s">
        <v>337</v>
      </c>
      <c r="C508" s="272" t="s">
        <v>43</v>
      </c>
      <c r="D508" s="273" t="s">
        <v>47</v>
      </c>
      <c r="E508" s="273" t="s">
        <v>90</v>
      </c>
      <c r="F508" s="274" t="s">
        <v>46</v>
      </c>
      <c r="G508" s="521"/>
      <c r="H508" s="287">
        <f>H509+H514+H512</f>
        <v>32678.399999999998</v>
      </c>
    </row>
    <row r="509" spans="1:8" ht="36" x14ac:dyDescent="0.35">
      <c r="A509" s="506"/>
      <c r="B509" s="472" t="s">
        <v>540</v>
      </c>
      <c r="C509" s="272" t="s">
        <v>43</v>
      </c>
      <c r="D509" s="273" t="s">
        <v>47</v>
      </c>
      <c r="E509" s="273" t="s">
        <v>90</v>
      </c>
      <c r="F509" s="274" t="s">
        <v>93</v>
      </c>
      <c r="G509" s="42"/>
      <c r="H509" s="287">
        <f>SUM(H510:H511)</f>
        <v>4732.0999999999995</v>
      </c>
    </row>
    <row r="510" spans="1:8" ht="90" x14ac:dyDescent="0.35">
      <c r="A510" s="506"/>
      <c r="B510" s="285" t="s">
        <v>51</v>
      </c>
      <c r="C510" s="272" t="s">
        <v>43</v>
      </c>
      <c r="D510" s="273" t="s">
        <v>47</v>
      </c>
      <c r="E510" s="273" t="s">
        <v>90</v>
      </c>
      <c r="F510" s="274" t="s">
        <v>93</v>
      </c>
      <c r="G510" s="42" t="s">
        <v>52</v>
      </c>
      <c r="H510" s="287">
        <f>'прил9 (ведом 22)'!M165</f>
        <v>4586.7999999999993</v>
      </c>
    </row>
    <row r="511" spans="1:8" ht="36" x14ac:dyDescent="0.35">
      <c r="A511" s="506"/>
      <c r="B511" s="285" t="s">
        <v>57</v>
      </c>
      <c r="C511" s="272" t="s">
        <v>43</v>
      </c>
      <c r="D511" s="273" t="s">
        <v>47</v>
      </c>
      <c r="E511" s="273" t="s">
        <v>90</v>
      </c>
      <c r="F511" s="274" t="s">
        <v>93</v>
      </c>
      <c r="G511" s="42" t="s">
        <v>58</v>
      </c>
      <c r="H511" s="287">
        <f>'прил9 (ведом 22)'!M166</f>
        <v>145.30000000000001</v>
      </c>
    </row>
    <row r="512" spans="1:8" ht="36" x14ac:dyDescent="0.35">
      <c r="A512" s="506"/>
      <c r="B512" s="31" t="s">
        <v>747</v>
      </c>
      <c r="C512" s="659" t="s">
        <v>43</v>
      </c>
      <c r="D512" s="660" t="s">
        <v>47</v>
      </c>
      <c r="E512" s="660" t="s">
        <v>90</v>
      </c>
      <c r="F512" s="661" t="s">
        <v>748</v>
      </c>
      <c r="G512" s="17"/>
      <c r="H512" s="287">
        <f>H513</f>
        <v>14590.3</v>
      </c>
    </row>
    <row r="513" spans="1:8" ht="36" x14ac:dyDescent="0.35">
      <c r="A513" s="506"/>
      <c r="B513" s="31" t="s">
        <v>57</v>
      </c>
      <c r="C513" s="659" t="s">
        <v>43</v>
      </c>
      <c r="D513" s="660" t="s">
        <v>47</v>
      </c>
      <c r="E513" s="660" t="s">
        <v>90</v>
      </c>
      <c r="F513" s="661" t="s">
        <v>748</v>
      </c>
      <c r="G513" s="17" t="s">
        <v>58</v>
      </c>
      <c r="H513" s="287">
        <f>'прил9 (ведом 22)'!M168</f>
        <v>14590.3</v>
      </c>
    </row>
    <row r="514" spans="1:8" ht="36" x14ac:dyDescent="0.35">
      <c r="A514" s="506"/>
      <c r="B514" s="285" t="s">
        <v>710</v>
      </c>
      <c r="C514" s="272" t="s">
        <v>43</v>
      </c>
      <c r="D514" s="273" t="s">
        <v>47</v>
      </c>
      <c r="E514" s="273" t="s">
        <v>90</v>
      </c>
      <c r="F514" s="274" t="s">
        <v>709</v>
      </c>
      <c r="G514" s="42"/>
      <c r="H514" s="287">
        <f>H515</f>
        <v>13356</v>
      </c>
    </row>
    <row r="515" spans="1:8" ht="36" x14ac:dyDescent="0.35">
      <c r="A515" s="506"/>
      <c r="B515" s="285" t="s">
        <v>57</v>
      </c>
      <c r="C515" s="272" t="s">
        <v>43</v>
      </c>
      <c r="D515" s="273" t="s">
        <v>47</v>
      </c>
      <c r="E515" s="273" t="s">
        <v>90</v>
      </c>
      <c r="F515" s="274" t="s">
        <v>709</v>
      </c>
      <c r="G515" s="42" t="s">
        <v>58</v>
      </c>
      <c r="H515" s="287">
        <f>'прил9 (ведом 22)'!M170</f>
        <v>13356</v>
      </c>
    </row>
    <row r="516" spans="1:8" ht="36" x14ac:dyDescent="0.35">
      <c r="A516" s="506"/>
      <c r="B516" s="285" t="s">
        <v>554</v>
      </c>
      <c r="C516" s="272" t="s">
        <v>43</v>
      </c>
      <c r="D516" s="273" t="s">
        <v>47</v>
      </c>
      <c r="E516" s="273" t="s">
        <v>475</v>
      </c>
      <c r="F516" s="274" t="s">
        <v>46</v>
      </c>
      <c r="G516" s="42"/>
      <c r="H516" s="287">
        <f>H517</f>
        <v>120.1</v>
      </c>
    </row>
    <row r="517" spans="1:8" ht="36" x14ac:dyDescent="0.35">
      <c r="A517" s="506"/>
      <c r="B517" s="500" t="s">
        <v>129</v>
      </c>
      <c r="C517" s="272" t="s">
        <v>43</v>
      </c>
      <c r="D517" s="273" t="s">
        <v>47</v>
      </c>
      <c r="E517" s="273" t="s">
        <v>475</v>
      </c>
      <c r="F517" s="274" t="s">
        <v>92</v>
      </c>
      <c r="G517" s="42"/>
      <c r="H517" s="287">
        <f>H518</f>
        <v>120.1</v>
      </c>
    </row>
    <row r="518" spans="1:8" ht="36" x14ac:dyDescent="0.35">
      <c r="A518" s="506"/>
      <c r="B518" s="285" t="s">
        <v>57</v>
      </c>
      <c r="C518" s="272" t="s">
        <v>43</v>
      </c>
      <c r="D518" s="273" t="s">
        <v>47</v>
      </c>
      <c r="E518" s="273" t="s">
        <v>475</v>
      </c>
      <c r="F518" s="274" t="s">
        <v>92</v>
      </c>
      <c r="G518" s="42" t="s">
        <v>58</v>
      </c>
      <c r="H518" s="287">
        <f>'прил9 (ведом 22)'!M87</f>
        <v>120.1</v>
      </c>
    </row>
    <row r="519" spans="1:8" ht="36" x14ac:dyDescent="0.35">
      <c r="A519" s="506"/>
      <c r="B519" s="285" t="s">
        <v>544</v>
      </c>
      <c r="C519" s="272" t="s">
        <v>43</v>
      </c>
      <c r="D519" s="273" t="s">
        <v>47</v>
      </c>
      <c r="E519" s="273" t="s">
        <v>43</v>
      </c>
      <c r="F519" s="274" t="s">
        <v>46</v>
      </c>
      <c r="G519" s="42"/>
      <c r="H519" s="287">
        <f>H520</f>
        <v>60</v>
      </c>
    </row>
    <row r="520" spans="1:8" ht="18" x14ac:dyDescent="0.35">
      <c r="A520" s="506"/>
      <c r="B520" s="500" t="s">
        <v>542</v>
      </c>
      <c r="C520" s="272" t="s">
        <v>43</v>
      </c>
      <c r="D520" s="273" t="s">
        <v>47</v>
      </c>
      <c r="E520" s="273" t="s">
        <v>43</v>
      </c>
      <c r="F520" s="274" t="s">
        <v>543</v>
      </c>
      <c r="G520" s="42"/>
      <c r="H520" s="287">
        <f>H521</f>
        <v>60</v>
      </c>
    </row>
    <row r="521" spans="1:8" ht="39.6" customHeight="1" x14ac:dyDescent="0.35">
      <c r="A521" s="506"/>
      <c r="B521" s="285" t="s">
        <v>57</v>
      </c>
      <c r="C521" s="272" t="s">
        <v>43</v>
      </c>
      <c r="D521" s="273" t="s">
        <v>47</v>
      </c>
      <c r="E521" s="273" t="s">
        <v>43</v>
      </c>
      <c r="F521" s="274" t="s">
        <v>543</v>
      </c>
      <c r="G521" s="42" t="s">
        <v>58</v>
      </c>
      <c r="H521" s="287">
        <f>'прил9 (ведом 22)'!M90</f>
        <v>60</v>
      </c>
    </row>
    <row r="522" spans="1:8" ht="18" x14ac:dyDescent="0.35">
      <c r="A522" s="506"/>
      <c r="B522" s="472"/>
      <c r="C522" s="273"/>
      <c r="D522" s="273"/>
      <c r="E522" s="273"/>
      <c r="F522" s="274"/>
      <c r="G522" s="42"/>
      <c r="H522" s="287"/>
    </row>
    <row r="523" spans="1:8" ht="55.2" customHeight="1" x14ac:dyDescent="0.3">
      <c r="A523" s="481">
        <v>16</v>
      </c>
      <c r="B523" s="511" t="s">
        <v>235</v>
      </c>
      <c r="C523" s="482" t="s">
        <v>236</v>
      </c>
      <c r="D523" s="482" t="s">
        <v>44</v>
      </c>
      <c r="E523" s="482" t="s">
        <v>45</v>
      </c>
      <c r="F523" s="483" t="s">
        <v>46</v>
      </c>
      <c r="G523" s="470"/>
      <c r="H523" s="337">
        <f>H524</f>
        <v>53.4</v>
      </c>
    </row>
    <row r="524" spans="1:8" ht="20.399999999999999" customHeight="1" x14ac:dyDescent="0.35">
      <c r="A524" s="461"/>
      <c r="B524" s="472" t="s">
        <v>345</v>
      </c>
      <c r="C524" s="272" t="s">
        <v>236</v>
      </c>
      <c r="D524" s="273" t="s">
        <v>47</v>
      </c>
      <c r="E524" s="273" t="s">
        <v>45</v>
      </c>
      <c r="F524" s="274" t="s">
        <v>46</v>
      </c>
      <c r="G524" s="42"/>
      <c r="H524" s="287">
        <f>H525</f>
        <v>53.4</v>
      </c>
    </row>
    <row r="525" spans="1:8" ht="56.4" customHeight="1" x14ac:dyDescent="0.35">
      <c r="A525" s="461"/>
      <c r="B525" s="472" t="s">
        <v>288</v>
      </c>
      <c r="C525" s="272" t="s">
        <v>236</v>
      </c>
      <c r="D525" s="273" t="s">
        <v>47</v>
      </c>
      <c r="E525" s="273" t="s">
        <v>39</v>
      </c>
      <c r="F525" s="274" t="s">
        <v>46</v>
      </c>
      <c r="G525" s="42"/>
      <c r="H525" s="287">
        <f>H526</f>
        <v>53.4</v>
      </c>
    </row>
    <row r="526" spans="1:8" ht="36" x14ac:dyDescent="0.35">
      <c r="A526" s="461"/>
      <c r="B526" s="472" t="s">
        <v>237</v>
      </c>
      <c r="C526" s="272" t="s">
        <v>236</v>
      </c>
      <c r="D526" s="273" t="s">
        <v>47</v>
      </c>
      <c r="E526" s="273" t="s">
        <v>39</v>
      </c>
      <c r="F526" s="274" t="s">
        <v>282</v>
      </c>
      <c r="G526" s="42"/>
      <c r="H526" s="287">
        <f>H527</f>
        <v>53.4</v>
      </c>
    </row>
    <row r="527" spans="1:8" ht="39" customHeight="1" x14ac:dyDescent="0.35">
      <c r="A527" s="461"/>
      <c r="B527" s="472" t="s">
        <v>78</v>
      </c>
      <c r="C527" s="272" t="s">
        <v>236</v>
      </c>
      <c r="D527" s="273" t="s">
        <v>47</v>
      </c>
      <c r="E527" s="273" t="s">
        <v>39</v>
      </c>
      <c r="F527" s="274" t="s">
        <v>282</v>
      </c>
      <c r="G527" s="42" t="s">
        <v>79</v>
      </c>
      <c r="H527" s="287">
        <f>'прил9 (ведом 22)'!M435</f>
        <v>53.4</v>
      </c>
    </row>
    <row r="528" spans="1:8" ht="18" x14ac:dyDescent="0.35">
      <c r="A528" s="506"/>
      <c r="B528" s="472"/>
      <c r="C528" s="273"/>
      <c r="D528" s="273"/>
      <c r="E528" s="273"/>
      <c r="F528" s="273"/>
      <c r="G528" s="42"/>
      <c r="H528" s="287"/>
    </row>
    <row r="529" spans="1:8" ht="34.799999999999997" x14ac:dyDescent="0.3">
      <c r="A529" s="481">
        <v>17</v>
      </c>
      <c r="B529" s="558" t="s">
        <v>132</v>
      </c>
      <c r="C529" s="482" t="s">
        <v>133</v>
      </c>
      <c r="D529" s="482" t="s">
        <v>44</v>
      </c>
      <c r="E529" s="482" t="s">
        <v>45</v>
      </c>
      <c r="F529" s="482" t="s">
        <v>46</v>
      </c>
      <c r="G529" s="470"/>
      <c r="H529" s="337">
        <f>H530</f>
        <v>6007</v>
      </c>
    </row>
    <row r="530" spans="1:8" ht="39.6" customHeight="1" x14ac:dyDescent="0.35">
      <c r="A530" s="461"/>
      <c r="B530" s="499" t="s">
        <v>134</v>
      </c>
      <c r="C530" s="272" t="s">
        <v>133</v>
      </c>
      <c r="D530" s="273" t="s">
        <v>47</v>
      </c>
      <c r="E530" s="273" t="s">
        <v>45</v>
      </c>
      <c r="F530" s="274" t="s">
        <v>46</v>
      </c>
      <c r="G530" s="42"/>
      <c r="H530" s="287">
        <f>H531+H535</f>
        <v>6007</v>
      </c>
    </row>
    <row r="531" spans="1:8" ht="37.950000000000003" customHeight="1" x14ac:dyDescent="0.35">
      <c r="A531" s="461"/>
      <c r="B531" s="472" t="s">
        <v>49</v>
      </c>
      <c r="C531" s="272" t="s">
        <v>133</v>
      </c>
      <c r="D531" s="273" t="s">
        <v>47</v>
      </c>
      <c r="E531" s="273" t="s">
        <v>45</v>
      </c>
      <c r="F531" s="274" t="s">
        <v>50</v>
      </c>
      <c r="G531" s="42"/>
      <c r="H531" s="287">
        <f>H532+H533+H534</f>
        <v>4928.0999999999995</v>
      </c>
    </row>
    <row r="532" spans="1:8" ht="91.95" customHeight="1" x14ac:dyDescent="0.35">
      <c r="A532" s="461"/>
      <c r="B532" s="501" t="s">
        <v>51</v>
      </c>
      <c r="C532" s="272" t="s">
        <v>133</v>
      </c>
      <c r="D532" s="273" t="s">
        <v>47</v>
      </c>
      <c r="E532" s="273" t="s">
        <v>45</v>
      </c>
      <c r="F532" s="274" t="s">
        <v>50</v>
      </c>
      <c r="G532" s="42" t="s">
        <v>52</v>
      </c>
      <c r="H532" s="287">
        <f>'прил9 (ведом 22)'!M300</f>
        <v>4605.2</v>
      </c>
    </row>
    <row r="533" spans="1:8" ht="36" x14ac:dyDescent="0.35">
      <c r="A533" s="461"/>
      <c r="B533" s="472" t="s">
        <v>57</v>
      </c>
      <c r="C533" s="272" t="s">
        <v>133</v>
      </c>
      <c r="D533" s="273" t="s">
        <v>47</v>
      </c>
      <c r="E533" s="273" t="s">
        <v>45</v>
      </c>
      <c r="F533" s="274" t="s">
        <v>50</v>
      </c>
      <c r="G533" s="42" t="s">
        <v>58</v>
      </c>
      <c r="H533" s="287">
        <f>'прил9 (ведом 22)'!M301</f>
        <v>312.89999999999998</v>
      </c>
    </row>
    <row r="534" spans="1:8" ht="18" x14ac:dyDescent="0.35">
      <c r="A534" s="461"/>
      <c r="B534" s="472" t="s">
        <v>59</v>
      </c>
      <c r="C534" s="272" t="s">
        <v>133</v>
      </c>
      <c r="D534" s="273" t="s">
        <v>47</v>
      </c>
      <c r="E534" s="273" t="s">
        <v>45</v>
      </c>
      <c r="F534" s="274" t="s">
        <v>50</v>
      </c>
      <c r="G534" s="42" t="s">
        <v>60</v>
      </c>
      <c r="H534" s="287">
        <f>'прил9 (ведом 22)'!M302</f>
        <v>10</v>
      </c>
    </row>
    <row r="535" spans="1:8" ht="38.4" customHeight="1" x14ac:dyDescent="0.35">
      <c r="A535" s="461"/>
      <c r="B535" s="472" t="s">
        <v>238</v>
      </c>
      <c r="C535" s="272" t="s">
        <v>133</v>
      </c>
      <c r="D535" s="273" t="s">
        <v>47</v>
      </c>
      <c r="E535" s="273" t="s">
        <v>45</v>
      </c>
      <c r="F535" s="274" t="s">
        <v>135</v>
      </c>
      <c r="G535" s="42"/>
      <c r="H535" s="287">
        <f>SUM(H536:H536)</f>
        <v>1078.9000000000001</v>
      </c>
    </row>
    <row r="536" spans="1:8" ht="92.4" customHeight="1" x14ac:dyDescent="0.35">
      <c r="A536" s="461"/>
      <c r="B536" s="472" t="s">
        <v>51</v>
      </c>
      <c r="C536" s="272" t="s">
        <v>133</v>
      </c>
      <c r="D536" s="273" t="s">
        <v>47</v>
      </c>
      <c r="E536" s="273" t="s">
        <v>45</v>
      </c>
      <c r="F536" s="274" t="s">
        <v>135</v>
      </c>
      <c r="G536" s="42" t="s">
        <v>52</v>
      </c>
      <c r="H536" s="287">
        <f>'прил9 (ведом 22)'!M304</f>
        <v>1078.9000000000001</v>
      </c>
    </row>
    <row r="537" spans="1:8" ht="18" x14ac:dyDescent="0.35">
      <c r="A537" s="461"/>
      <c r="B537" s="285"/>
      <c r="C537" s="653"/>
      <c r="D537" s="653"/>
      <c r="E537" s="653"/>
      <c r="F537" s="653"/>
      <c r="G537" s="312"/>
      <c r="H537" s="287"/>
    </row>
    <row r="538" spans="1:8" ht="87.6" x14ac:dyDescent="0.35">
      <c r="A538" s="481">
        <v>18</v>
      </c>
      <c r="B538" s="554" t="s">
        <v>755</v>
      </c>
      <c r="C538" s="555" t="s">
        <v>753</v>
      </c>
      <c r="D538" s="556" t="s">
        <v>44</v>
      </c>
      <c r="E538" s="556" t="s">
        <v>45</v>
      </c>
      <c r="F538" s="557" t="s">
        <v>46</v>
      </c>
      <c r="G538" s="312"/>
      <c r="H538" s="337">
        <f>H539</f>
        <v>20238.41</v>
      </c>
    </row>
    <row r="539" spans="1:8" ht="90" x14ac:dyDescent="0.35">
      <c r="A539" s="461"/>
      <c r="B539" s="35" t="s">
        <v>756</v>
      </c>
      <c r="C539" s="659" t="s">
        <v>753</v>
      </c>
      <c r="D539" s="660" t="s">
        <v>91</v>
      </c>
      <c r="E539" s="660" t="s">
        <v>45</v>
      </c>
      <c r="F539" s="661" t="s">
        <v>46</v>
      </c>
      <c r="G539" s="17"/>
      <c r="H539" s="287">
        <f>H540+H543+H546+H549+H552+H555+H558+H561+H564</f>
        <v>20238.41</v>
      </c>
    </row>
    <row r="540" spans="1:8" ht="72" x14ac:dyDescent="0.35">
      <c r="A540" s="461"/>
      <c r="B540" s="35" t="s">
        <v>757</v>
      </c>
      <c r="C540" s="659" t="s">
        <v>753</v>
      </c>
      <c r="D540" s="660" t="s">
        <v>91</v>
      </c>
      <c r="E540" s="660" t="s">
        <v>39</v>
      </c>
      <c r="F540" s="661" t="s">
        <v>46</v>
      </c>
      <c r="G540" s="17"/>
      <c r="H540" s="287">
        <f>H541</f>
        <v>5500</v>
      </c>
    </row>
    <row r="541" spans="1:8" ht="72" x14ac:dyDescent="0.35">
      <c r="A541" s="461"/>
      <c r="B541" s="35" t="s">
        <v>758</v>
      </c>
      <c r="C541" s="659" t="s">
        <v>753</v>
      </c>
      <c r="D541" s="660" t="s">
        <v>91</v>
      </c>
      <c r="E541" s="660" t="s">
        <v>39</v>
      </c>
      <c r="F541" s="661" t="s">
        <v>754</v>
      </c>
      <c r="G541" s="17"/>
      <c r="H541" s="287">
        <f>H542</f>
        <v>5500</v>
      </c>
    </row>
    <row r="542" spans="1:8" ht="18" x14ac:dyDescent="0.35">
      <c r="A542" s="461"/>
      <c r="B542" s="35" t="s">
        <v>125</v>
      </c>
      <c r="C542" s="659" t="s">
        <v>753</v>
      </c>
      <c r="D542" s="660" t="s">
        <v>91</v>
      </c>
      <c r="E542" s="660" t="s">
        <v>39</v>
      </c>
      <c r="F542" s="661" t="s">
        <v>754</v>
      </c>
      <c r="G542" s="17" t="s">
        <v>126</v>
      </c>
      <c r="H542" s="287">
        <f>'прил9 (ведом 22)'!M225</f>
        <v>5500</v>
      </c>
    </row>
    <row r="543" spans="1:8" ht="54" x14ac:dyDescent="0.35">
      <c r="A543" s="461"/>
      <c r="B543" s="35" t="s">
        <v>759</v>
      </c>
      <c r="C543" s="659" t="s">
        <v>753</v>
      </c>
      <c r="D543" s="660" t="s">
        <v>91</v>
      </c>
      <c r="E543" s="660" t="s">
        <v>41</v>
      </c>
      <c r="F543" s="661" t="s">
        <v>46</v>
      </c>
      <c r="G543" s="17"/>
      <c r="H543" s="287">
        <f>H544</f>
        <v>2500</v>
      </c>
    </row>
    <row r="544" spans="1:8" ht="72" x14ac:dyDescent="0.35">
      <c r="A544" s="461"/>
      <c r="B544" s="35" t="s">
        <v>758</v>
      </c>
      <c r="C544" s="659" t="s">
        <v>753</v>
      </c>
      <c r="D544" s="660" t="s">
        <v>91</v>
      </c>
      <c r="E544" s="660" t="s">
        <v>41</v>
      </c>
      <c r="F544" s="661" t="s">
        <v>754</v>
      </c>
      <c r="G544" s="17"/>
      <c r="H544" s="287">
        <f>H545</f>
        <v>2500</v>
      </c>
    </row>
    <row r="545" spans="1:8" ht="18" x14ac:dyDescent="0.35">
      <c r="A545" s="461"/>
      <c r="B545" s="35" t="s">
        <v>125</v>
      </c>
      <c r="C545" s="659" t="s">
        <v>753</v>
      </c>
      <c r="D545" s="660" t="s">
        <v>91</v>
      </c>
      <c r="E545" s="660" t="s">
        <v>41</v>
      </c>
      <c r="F545" s="661" t="s">
        <v>754</v>
      </c>
      <c r="G545" s="17" t="s">
        <v>126</v>
      </c>
      <c r="H545" s="287">
        <f>'прил9 (ведом 22)'!M228</f>
        <v>2500</v>
      </c>
    </row>
    <row r="546" spans="1:8" ht="36" x14ac:dyDescent="0.35">
      <c r="A546" s="461"/>
      <c r="B546" s="35" t="s">
        <v>760</v>
      </c>
      <c r="C546" s="659" t="s">
        <v>753</v>
      </c>
      <c r="D546" s="660" t="s">
        <v>91</v>
      </c>
      <c r="E546" s="660" t="s">
        <v>65</v>
      </c>
      <c r="F546" s="661" t="s">
        <v>46</v>
      </c>
      <c r="G546" s="17"/>
      <c r="H546" s="287">
        <f>H547</f>
        <v>3000</v>
      </c>
    </row>
    <row r="547" spans="1:8" ht="72" x14ac:dyDescent="0.35">
      <c r="A547" s="461"/>
      <c r="B547" s="35" t="s">
        <v>758</v>
      </c>
      <c r="C547" s="659" t="s">
        <v>753</v>
      </c>
      <c r="D547" s="660" t="s">
        <v>91</v>
      </c>
      <c r="E547" s="660" t="s">
        <v>65</v>
      </c>
      <c r="F547" s="661" t="s">
        <v>754</v>
      </c>
      <c r="G547" s="17"/>
      <c r="H547" s="287">
        <f>H548</f>
        <v>3000</v>
      </c>
    </row>
    <row r="548" spans="1:8" ht="18" x14ac:dyDescent="0.35">
      <c r="A548" s="461"/>
      <c r="B548" s="35" t="s">
        <v>125</v>
      </c>
      <c r="C548" s="659" t="s">
        <v>753</v>
      </c>
      <c r="D548" s="660" t="s">
        <v>91</v>
      </c>
      <c r="E548" s="660" t="s">
        <v>65</v>
      </c>
      <c r="F548" s="661" t="s">
        <v>754</v>
      </c>
      <c r="G548" s="17" t="s">
        <v>126</v>
      </c>
      <c r="H548" s="287">
        <f>'прил9 (ведом 22)'!M231</f>
        <v>3000</v>
      </c>
    </row>
    <row r="549" spans="1:8" ht="108" x14ac:dyDescent="0.35">
      <c r="A549" s="461"/>
      <c r="B549" s="35" t="s">
        <v>761</v>
      </c>
      <c r="C549" s="659" t="s">
        <v>753</v>
      </c>
      <c r="D549" s="660" t="s">
        <v>91</v>
      </c>
      <c r="E549" s="660" t="s">
        <v>54</v>
      </c>
      <c r="F549" s="661" t="s">
        <v>46</v>
      </c>
      <c r="G549" s="17"/>
      <c r="H549" s="287">
        <f>H550</f>
        <v>4280</v>
      </c>
    </row>
    <row r="550" spans="1:8" ht="72" x14ac:dyDescent="0.35">
      <c r="A550" s="461"/>
      <c r="B550" s="35" t="s">
        <v>758</v>
      </c>
      <c r="C550" s="659" t="s">
        <v>753</v>
      </c>
      <c r="D550" s="660" t="s">
        <v>91</v>
      </c>
      <c r="E550" s="660" t="s">
        <v>54</v>
      </c>
      <c r="F550" s="661" t="s">
        <v>754</v>
      </c>
      <c r="G550" s="17"/>
      <c r="H550" s="287">
        <f>H551</f>
        <v>4280</v>
      </c>
    </row>
    <row r="551" spans="1:8" ht="18" x14ac:dyDescent="0.35">
      <c r="A551" s="461"/>
      <c r="B551" s="35" t="s">
        <v>125</v>
      </c>
      <c r="C551" s="659" t="s">
        <v>753</v>
      </c>
      <c r="D551" s="660" t="s">
        <v>91</v>
      </c>
      <c r="E551" s="660" t="s">
        <v>54</v>
      </c>
      <c r="F551" s="661" t="s">
        <v>754</v>
      </c>
      <c r="G551" s="17" t="s">
        <v>126</v>
      </c>
      <c r="H551" s="287">
        <f>'прил9 (ведом 22)'!M234</f>
        <v>4280</v>
      </c>
    </row>
    <row r="552" spans="1:8" ht="126" x14ac:dyDescent="0.35">
      <c r="A552" s="461"/>
      <c r="B552" s="35" t="s">
        <v>762</v>
      </c>
      <c r="C552" s="659" t="s">
        <v>753</v>
      </c>
      <c r="D552" s="660" t="s">
        <v>91</v>
      </c>
      <c r="E552" s="660" t="s">
        <v>67</v>
      </c>
      <c r="F552" s="661" t="s">
        <v>46</v>
      </c>
      <c r="G552" s="17"/>
      <c r="H552" s="287">
        <f>H553</f>
        <v>400</v>
      </c>
    </row>
    <row r="553" spans="1:8" ht="72" x14ac:dyDescent="0.35">
      <c r="A553" s="461"/>
      <c r="B553" s="35" t="s">
        <v>758</v>
      </c>
      <c r="C553" s="659" t="s">
        <v>753</v>
      </c>
      <c r="D553" s="660" t="s">
        <v>91</v>
      </c>
      <c r="E553" s="660" t="s">
        <v>67</v>
      </c>
      <c r="F553" s="661" t="s">
        <v>754</v>
      </c>
      <c r="G553" s="17"/>
      <c r="H553" s="287">
        <f>H554</f>
        <v>400</v>
      </c>
    </row>
    <row r="554" spans="1:8" ht="18" x14ac:dyDescent="0.35">
      <c r="A554" s="461"/>
      <c r="B554" s="35" t="s">
        <v>125</v>
      </c>
      <c r="C554" s="659" t="s">
        <v>753</v>
      </c>
      <c r="D554" s="660" t="s">
        <v>91</v>
      </c>
      <c r="E554" s="660" t="s">
        <v>67</v>
      </c>
      <c r="F554" s="661" t="s">
        <v>754</v>
      </c>
      <c r="G554" s="17" t="s">
        <v>126</v>
      </c>
      <c r="H554" s="287">
        <f>'прил9 (ведом 22)'!M237</f>
        <v>400</v>
      </c>
    </row>
    <row r="555" spans="1:8" ht="54" x14ac:dyDescent="0.35">
      <c r="A555" s="461"/>
      <c r="B555" s="35" t="s">
        <v>763</v>
      </c>
      <c r="C555" s="659" t="s">
        <v>753</v>
      </c>
      <c r="D555" s="660" t="s">
        <v>91</v>
      </c>
      <c r="E555" s="660" t="s">
        <v>83</v>
      </c>
      <c r="F555" s="661" t="s">
        <v>46</v>
      </c>
      <c r="G555" s="17"/>
      <c r="H555" s="287">
        <f>H556</f>
        <v>36.4</v>
      </c>
    </row>
    <row r="556" spans="1:8" ht="72" x14ac:dyDescent="0.35">
      <c r="A556" s="461"/>
      <c r="B556" s="35" t="s">
        <v>758</v>
      </c>
      <c r="C556" s="659" t="s">
        <v>753</v>
      </c>
      <c r="D556" s="660" t="s">
        <v>91</v>
      </c>
      <c r="E556" s="660" t="s">
        <v>83</v>
      </c>
      <c r="F556" s="661" t="s">
        <v>754</v>
      </c>
      <c r="G556" s="17"/>
      <c r="H556" s="287">
        <f>H557</f>
        <v>36.4</v>
      </c>
    </row>
    <row r="557" spans="1:8" ht="18" x14ac:dyDescent="0.35">
      <c r="A557" s="461"/>
      <c r="B557" s="35" t="s">
        <v>125</v>
      </c>
      <c r="C557" s="659" t="s">
        <v>753</v>
      </c>
      <c r="D557" s="660" t="s">
        <v>91</v>
      </c>
      <c r="E557" s="660" t="s">
        <v>83</v>
      </c>
      <c r="F557" s="661" t="s">
        <v>754</v>
      </c>
      <c r="G557" s="17" t="s">
        <v>126</v>
      </c>
      <c r="H557" s="287">
        <f>'прил9 (ведом 22)'!M240</f>
        <v>36.4</v>
      </c>
    </row>
    <row r="558" spans="1:8" ht="54" x14ac:dyDescent="0.35">
      <c r="A558" s="461"/>
      <c r="B558" s="35" t="s">
        <v>764</v>
      </c>
      <c r="C558" s="659" t="s">
        <v>753</v>
      </c>
      <c r="D558" s="660" t="s">
        <v>91</v>
      </c>
      <c r="E558" s="660" t="s">
        <v>226</v>
      </c>
      <c r="F558" s="661" t="s">
        <v>46</v>
      </c>
      <c r="G558" s="17"/>
      <c r="H558" s="287">
        <f>H559</f>
        <v>56.6</v>
      </c>
    </row>
    <row r="559" spans="1:8" ht="72" x14ac:dyDescent="0.35">
      <c r="A559" s="461"/>
      <c r="B559" s="35" t="s">
        <v>758</v>
      </c>
      <c r="C559" s="659" t="s">
        <v>753</v>
      </c>
      <c r="D559" s="660" t="s">
        <v>91</v>
      </c>
      <c r="E559" s="660" t="s">
        <v>226</v>
      </c>
      <c r="F559" s="661" t="s">
        <v>754</v>
      </c>
      <c r="G559" s="17"/>
      <c r="H559" s="287">
        <f>H560</f>
        <v>56.6</v>
      </c>
    </row>
    <row r="560" spans="1:8" ht="18" x14ac:dyDescent="0.35">
      <c r="A560" s="461"/>
      <c r="B560" s="35" t="s">
        <v>125</v>
      </c>
      <c r="C560" s="659" t="s">
        <v>753</v>
      </c>
      <c r="D560" s="660" t="s">
        <v>91</v>
      </c>
      <c r="E560" s="660" t="s">
        <v>226</v>
      </c>
      <c r="F560" s="661" t="s">
        <v>754</v>
      </c>
      <c r="G560" s="17" t="s">
        <v>126</v>
      </c>
      <c r="H560" s="287">
        <f>'прил9 (ведом 22)'!M243</f>
        <v>56.6</v>
      </c>
    </row>
    <row r="561" spans="1:8" ht="36" x14ac:dyDescent="0.35">
      <c r="A561" s="461"/>
      <c r="B561" s="35" t="s">
        <v>765</v>
      </c>
      <c r="C561" s="659" t="s">
        <v>753</v>
      </c>
      <c r="D561" s="660" t="s">
        <v>91</v>
      </c>
      <c r="E561" s="660" t="s">
        <v>228</v>
      </c>
      <c r="F561" s="661" t="s">
        <v>46</v>
      </c>
      <c r="G561" s="17"/>
      <c r="H561" s="287">
        <f>H562</f>
        <v>3265.41</v>
      </c>
    </row>
    <row r="562" spans="1:8" ht="72" x14ac:dyDescent="0.35">
      <c r="A562" s="461"/>
      <c r="B562" s="35" t="s">
        <v>758</v>
      </c>
      <c r="C562" s="659" t="s">
        <v>753</v>
      </c>
      <c r="D562" s="660" t="s">
        <v>91</v>
      </c>
      <c r="E562" s="660" t="s">
        <v>228</v>
      </c>
      <c r="F562" s="661" t="s">
        <v>754</v>
      </c>
      <c r="G562" s="17"/>
      <c r="H562" s="287">
        <f>H563</f>
        <v>3265.41</v>
      </c>
    </row>
    <row r="563" spans="1:8" ht="18" x14ac:dyDescent="0.35">
      <c r="A563" s="461"/>
      <c r="B563" s="35" t="s">
        <v>125</v>
      </c>
      <c r="C563" s="659" t="s">
        <v>753</v>
      </c>
      <c r="D563" s="660" t="s">
        <v>91</v>
      </c>
      <c r="E563" s="660" t="s">
        <v>228</v>
      </c>
      <c r="F563" s="661" t="s">
        <v>754</v>
      </c>
      <c r="G563" s="17" t="s">
        <v>126</v>
      </c>
      <c r="H563" s="287">
        <f>'прил9 (ведом 22)'!M246</f>
        <v>3265.41</v>
      </c>
    </row>
    <row r="564" spans="1:8" ht="54" x14ac:dyDescent="0.35">
      <c r="A564" s="461"/>
      <c r="B564" s="35" t="s">
        <v>794</v>
      </c>
      <c r="C564" s="659" t="s">
        <v>753</v>
      </c>
      <c r="D564" s="660" t="s">
        <v>91</v>
      </c>
      <c r="E564" s="660" t="s">
        <v>81</v>
      </c>
      <c r="F564" s="661" t="s">
        <v>46</v>
      </c>
      <c r="G564" s="17"/>
      <c r="H564" s="287">
        <f>H565</f>
        <v>1200</v>
      </c>
    </row>
    <row r="565" spans="1:8" ht="72" x14ac:dyDescent="0.35">
      <c r="A565" s="461"/>
      <c r="B565" s="35" t="s">
        <v>758</v>
      </c>
      <c r="C565" s="659" t="s">
        <v>753</v>
      </c>
      <c r="D565" s="660" t="s">
        <v>91</v>
      </c>
      <c r="E565" s="660" t="s">
        <v>81</v>
      </c>
      <c r="F565" s="661" t="s">
        <v>754</v>
      </c>
      <c r="G565" s="17"/>
      <c r="H565" s="287">
        <f>H566</f>
        <v>1200</v>
      </c>
    </row>
    <row r="566" spans="1:8" ht="18" x14ac:dyDescent="0.35">
      <c r="A566" s="461"/>
      <c r="B566" s="35" t="s">
        <v>125</v>
      </c>
      <c r="C566" s="659" t="s">
        <v>753</v>
      </c>
      <c r="D566" s="660" t="s">
        <v>91</v>
      </c>
      <c r="E566" s="660" t="s">
        <v>81</v>
      </c>
      <c r="F566" s="661" t="s">
        <v>754</v>
      </c>
      <c r="G566" s="17" t="s">
        <v>126</v>
      </c>
      <c r="H566" s="287">
        <f>'прил9 (ведом 22)'!M249</f>
        <v>1200</v>
      </c>
    </row>
    <row r="567" spans="1:8" ht="18" x14ac:dyDescent="0.35">
      <c r="A567" s="461"/>
      <c r="B567" s="285"/>
      <c r="C567" s="653"/>
      <c r="D567" s="653"/>
      <c r="E567" s="653"/>
      <c r="F567" s="653"/>
      <c r="G567" s="312"/>
      <c r="H567" s="287"/>
    </row>
    <row r="568" spans="1:8" s="471" customFormat="1" ht="44.25" customHeight="1" x14ac:dyDescent="0.3">
      <c r="A568" s="481">
        <v>19</v>
      </c>
      <c r="B568" s="605" t="s">
        <v>524</v>
      </c>
      <c r="C568" s="482" t="s">
        <v>70</v>
      </c>
      <c r="D568" s="482" t="s">
        <v>44</v>
      </c>
      <c r="E568" s="482" t="s">
        <v>45</v>
      </c>
      <c r="F568" s="482" t="s">
        <v>46</v>
      </c>
      <c r="G568" s="470"/>
      <c r="H568" s="337">
        <f>H569</f>
        <v>14070.2868</v>
      </c>
    </row>
    <row r="569" spans="1:8" ht="18.600000000000001" customHeight="1" x14ac:dyDescent="0.35">
      <c r="A569" s="461"/>
      <c r="B569" s="501" t="s">
        <v>521</v>
      </c>
      <c r="C569" s="272" t="s">
        <v>70</v>
      </c>
      <c r="D569" s="273" t="s">
        <v>47</v>
      </c>
      <c r="E569" s="273" t="s">
        <v>45</v>
      </c>
      <c r="F569" s="274" t="s">
        <v>46</v>
      </c>
      <c r="G569" s="42"/>
      <c r="H569" s="287">
        <f>H570</f>
        <v>14070.2868</v>
      </c>
    </row>
    <row r="570" spans="1:8" ht="36" x14ac:dyDescent="0.35">
      <c r="A570" s="461"/>
      <c r="B570" s="472" t="s">
        <v>519</v>
      </c>
      <c r="C570" s="272" t="s">
        <v>70</v>
      </c>
      <c r="D570" s="273" t="s">
        <v>47</v>
      </c>
      <c r="E570" s="273" t="s">
        <v>45</v>
      </c>
      <c r="F570" s="274" t="s">
        <v>71</v>
      </c>
      <c r="G570" s="42"/>
      <c r="H570" s="287">
        <f>H571</f>
        <v>14070.2868</v>
      </c>
    </row>
    <row r="571" spans="1:8" ht="18" x14ac:dyDescent="0.35">
      <c r="A571" s="461"/>
      <c r="B571" s="472" t="s">
        <v>59</v>
      </c>
      <c r="C571" s="272" t="s">
        <v>70</v>
      </c>
      <c r="D571" s="273" t="s">
        <v>47</v>
      </c>
      <c r="E571" s="273" t="s">
        <v>45</v>
      </c>
      <c r="F571" s="274" t="s">
        <v>71</v>
      </c>
      <c r="G571" s="42" t="s">
        <v>60</v>
      </c>
      <c r="H571" s="287">
        <f>'прил9 (ведом 22)'!M59</f>
        <v>14070.2868</v>
      </c>
    </row>
    <row r="572" spans="1:8" ht="18" x14ac:dyDescent="0.35">
      <c r="A572" s="606"/>
      <c r="B572" s="607"/>
      <c r="C572" s="100"/>
      <c r="D572" s="100"/>
      <c r="E572" s="100"/>
      <c r="F572" s="100"/>
      <c r="G572" s="100"/>
      <c r="H572" s="608"/>
    </row>
    <row r="573" spans="1:8" ht="17.399999999999999" x14ac:dyDescent="0.3">
      <c r="A573" s="457"/>
      <c r="B573" s="58"/>
      <c r="C573" s="59"/>
      <c r="D573" s="59"/>
      <c r="E573" s="59"/>
      <c r="F573" s="59"/>
      <c r="G573" s="60"/>
    </row>
    <row r="574" spans="1:8" ht="18" x14ac:dyDescent="0.35">
      <c r="A574" s="57" t="s">
        <v>388</v>
      </c>
      <c r="B574" s="58"/>
      <c r="C574" s="59"/>
      <c r="D574" s="59"/>
      <c r="E574" s="59"/>
      <c r="F574" s="59"/>
      <c r="G574" s="60"/>
    </row>
    <row r="575" spans="1:8" ht="18" x14ac:dyDescent="0.35">
      <c r="A575" s="57" t="s">
        <v>389</v>
      </c>
      <c r="B575" s="58"/>
      <c r="C575" s="59"/>
      <c r="D575" s="59"/>
      <c r="E575" s="59"/>
      <c r="F575" s="59"/>
      <c r="G575" s="60"/>
    </row>
    <row r="576" spans="1:8" ht="18" x14ac:dyDescent="0.35">
      <c r="A576" s="63" t="s">
        <v>390</v>
      </c>
      <c r="B576" s="58"/>
      <c r="C576" s="62"/>
      <c r="D576" s="59"/>
      <c r="E576" s="59"/>
      <c r="F576" s="59"/>
      <c r="G576" s="62"/>
      <c r="H576" s="64" t="s">
        <v>412</v>
      </c>
    </row>
    <row r="577" spans="1:8" x14ac:dyDescent="0.3">
      <c r="A577" s="457"/>
      <c r="B577" s="58"/>
      <c r="C577" s="59"/>
      <c r="D577" s="59"/>
      <c r="E577" s="59"/>
      <c r="F577" s="59"/>
    </row>
    <row r="578" spans="1:8" x14ac:dyDescent="0.3">
      <c r="A578" s="457"/>
      <c r="B578" s="58"/>
      <c r="C578" s="59"/>
      <c r="D578" s="59"/>
      <c r="E578" s="59"/>
      <c r="F578" s="59"/>
    </row>
    <row r="579" spans="1:8" x14ac:dyDescent="0.3">
      <c r="A579" s="457"/>
      <c r="B579" s="58"/>
      <c r="C579" s="59"/>
      <c r="D579" s="59"/>
      <c r="E579" s="59"/>
      <c r="F579" s="59"/>
    </row>
    <row r="580" spans="1:8" ht="17.399999999999999" x14ac:dyDescent="0.3">
      <c r="A580" s="457"/>
      <c r="B580" s="58"/>
      <c r="C580" s="59"/>
      <c r="D580" s="59"/>
      <c r="E580" s="59"/>
      <c r="F580" s="59"/>
      <c r="G580" s="60"/>
    </row>
    <row r="581" spans="1:8" hidden="1" x14ac:dyDescent="0.3">
      <c r="B581" s="565" t="s">
        <v>239</v>
      </c>
      <c r="H581" s="456">
        <f>H15+H139+H197+H240+H265+H302+H326+H364+H423+H432+H438+H448+H456+H462+H396+H523</f>
        <v>1921889.4090000002</v>
      </c>
    </row>
    <row r="582" spans="1:8" hidden="1" x14ac:dyDescent="0.3"/>
    <row r="583" spans="1:8" hidden="1" x14ac:dyDescent="0.3">
      <c r="H583" s="456">
        <f>(H581/H14)*100</f>
        <v>97.94538824301128</v>
      </c>
    </row>
    <row r="584" spans="1:8" hidden="1" x14ac:dyDescent="0.3"/>
    <row r="585" spans="1:8" hidden="1" x14ac:dyDescent="0.3">
      <c r="B585" s="565" t="s">
        <v>240</v>
      </c>
      <c r="H585" s="456">
        <f>H529+H568</f>
        <v>20077.286800000002</v>
      </c>
    </row>
    <row r="586" spans="1:8" hidden="1" x14ac:dyDescent="0.3">
      <c r="H586" s="456">
        <f>(H585/H587)*100</f>
        <v>1.0338636004120085</v>
      </c>
    </row>
    <row r="587" spans="1:8" hidden="1" x14ac:dyDescent="0.3">
      <c r="H587" s="456">
        <f>H581+H585</f>
        <v>1941966.6958000003</v>
      </c>
    </row>
  </sheetData>
  <autoFilter ref="A4:H587"/>
  <mergeCells count="3">
    <mergeCell ref="A9:H9"/>
    <mergeCell ref="C12:F12"/>
    <mergeCell ref="C13:F13"/>
  </mergeCells>
  <printOptions horizontalCentered="1"/>
  <pageMargins left="1.1811023622047245" right="0.39370078740157483" top="0.78740157480314965" bottom="0.39370078740157483" header="0" footer="0"/>
  <pageSetup paperSize="9" scale="78" fitToHeight="0" orientation="portrait" blackAndWhite="1" r:id="rId1"/>
  <headerFooter differentFirst="1" alignWithMargins="0">
    <oddHeader>&amp;C&amp;"Times New Roman,обычный"&amp;12&amp;P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L460"/>
  <sheetViews>
    <sheetView zoomScale="80" zoomScaleNormal="80" zoomScaleSheetLayoutView="70" workbookViewId="0">
      <pane ySplit="6" topLeftCell="A432" activePane="bottomLeft" state="frozen"/>
      <selection activeCell="D41" sqref="D41"/>
      <selection pane="bottomLeft" activeCell="A451" sqref="A451:XFD460"/>
    </sheetView>
  </sheetViews>
  <sheetFormatPr defaultColWidth="9.109375" defaultRowHeight="15.6" x14ac:dyDescent="0.3"/>
  <cols>
    <col min="1" max="1" width="4.5546875" style="455" customWidth="1"/>
    <col min="2" max="2" width="62.44140625" style="565" customWidth="1"/>
    <col min="3" max="3" width="3.109375" style="566" customWidth="1"/>
    <col min="4" max="4" width="2.33203125" style="566" customWidth="1"/>
    <col min="5" max="5" width="3" style="566" customWidth="1"/>
    <col min="6" max="6" width="8" style="566" customWidth="1"/>
    <col min="7" max="7" width="5.5546875" style="564" customWidth="1"/>
    <col min="8" max="8" width="14.109375" style="61" customWidth="1"/>
    <col min="9" max="9" width="13.33203125" style="62" customWidth="1"/>
    <col min="10" max="10" width="17.6640625" style="62" customWidth="1"/>
    <col min="11" max="11" width="16.44140625" style="62" hidden="1" customWidth="1"/>
    <col min="12" max="12" width="14.6640625" style="62" hidden="1" customWidth="1"/>
    <col min="13" max="16384" width="9.109375" style="62"/>
  </cols>
  <sheetData>
    <row r="1" spans="1:12" ht="18" x14ac:dyDescent="0.35">
      <c r="I1" s="201" t="s">
        <v>674</v>
      </c>
    </row>
    <row r="2" spans="1:12" ht="18" x14ac:dyDescent="0.35">
      <c r="I2" s="201" t="s">
        <v>795</v>
      </c>
    </row>
    <row r="4" spans="1:12" s="50" customFormat="1" ht="18" x14ac:dyDescent="0.35">
      <c r="I4" s="55" t="s">
        <v>675</v>
      </c>
    </row>
    <row r="5" spans="1:12" s="50" customFormat="1" ht="18" x14ac:dyDescent="0.35">
      <c r="I5" s="55" t="s">
        <v>733</v>
      </c>
    </row>
    <row r="9" spans="1:12" ht="76.5" customHeight="1" x14ac:dyDescent="0.3">
      <c r="A9" s="687" t="s">
        <v>666</v>
      </c>
      <c r="B9" s="687"/>
      <c r="C9" s="687"/>
      <c r="D9" s="687"/>
      <c r="E9" s="687"/>
      <c r="F9" s="687"/>
      <c r="G9" s="687"/>
      <c r="H9" s="687"/>
      <c r="I9" s="687"/>
    </row>
    <row r="10" spans="1:12" x14ac:dyDescent="0.3">
      <c r="A10" s="62"/>
      <c r="B10" s="62"/>
      <c r="C10" s="455"/>
      <c r="D10" s="455"/>
      <c r="E10" s="455"/>
      <c r="F10" s="455"/>
      <c r="G10" s="456"/>
    </row>
    <row r="11" spans="1:12" ht="18" x14ac:dyDescent="0.35">
      <c r="A11" s="457"/>
      <c r="B11" s="58"/>
      <c r="C11" s="59"/>
      <c r="D11" s="59"/>
      <c r="E11" s="59"/>
      <c r="F11" s="59"/>
      <c r="G11" s="62"/>
      <c r="I11" s="458" t="s">
        <v>24</v>
      </c>
    </row>
    <row r="12" spans="1:12" ht="18" x14ac:dyDescent="0.35">
      <c r="A12" s="695" t="s">
        <v>25</v>
      </c>
      <c r="B12" s="696" t="s">
        <v>26</v>
      </c>
      <c r="C12" s="696" t="s">
        <v>30</v>
      </c>
      <c r="D12" s="696"/>
      <c r="E12" s="696"/>
      <c r="F12" s="696"/>
      <c r="G12" s="696" t="s">
        <v>31</v>
      </c>
      <c r="H12" s="694" t="s">
        <v>16</v>
      </c>
      <c r="I12" s="694"/>
    </row>
    <row r="13" spans="1:12" ht="40.950000000000003" customHeight="1" x14ac:dyDescent="0.3">
      <c r="A13" s="695"/>
      <c r="B13" s="696"/>
      <c r="C13" s="696"/>
      <c r="D13" s="696"/>
      <c r="E13" s="696"/>
      <c r="F13" s="696"/>
      <c r="G13" s="696"/>
      <c r="H13" s="459" t="s">
        <v>534</v>
      </c>
      <c r="I13" s="459" t="s">
        <v>654</v>
      </c>
    </row>
    <row r="14" spans="1:12" ht="18" x14ac:dyDescent="0.35">
      <c r="A14" s="298">
        <v>1</v>
      </c>
      <c r="B14" s="460">
        <v>2</v>
      </c>
      <c r="C14" s="691" t="s">
        <v>32</v>
      </c>
      <c r="D14" s="692"/>
      <c r="E14" s="692"/>
      <c r="F14" s="693"/>
      <c r="G14" s="312" t="s">
        <v>33</v>
      </c>
      <c r="H14" s="299">
        <v>5</v>
      </c>
      <c r="I14" s="299">
        <v>6</v>
      </c>
    </row>
    <row r="15" spans="1:12" ht="18" x14ac:dyDescent="0.35">
      <c r="A15" s="461"/>
      <c r="B15" s="462" t="s">
        <v>204</v>
      </c>
      <c r="C15" s="463"/>
      <c r="D15" s="463"/>
      <c r="E15" s="463"/>
      <c r="F15" s="463"/>
      <c r="G15" s="464"/>
      <c r="H15" s="465">
        <f>H16+H115+H159+H198+H221+H249+H266+H290+H324+H330+H339+H345+H355+H369+H427+H434+H439+H363+H421</f>
        <v>1599332.5999999996</v>
      </c>
      <c r="I15" s="465">
        <f>I16+I115+I159+I198+I221+I249+I266+I290+I324+I330+I339+I345+I355+I369+I427+I434+I439+I363+I421</f>
        <v>1598605.7999999996</v>
      </c>
      <c r="J15" s="466"/>
      <c r="K15" s="466">
        <f>H15-'прил10 (ведом 23-24)'!M16</f>
        <v>0</v>
      </c>
      <c r="L15" s="624">
        <f>I15-'прил10 (ведом 23-24)'!N16</f>
        <v>0</v>
      </c>
    </row>
    <row r="16" spans="1:12" s="471" customFormat="1" ht="52.2" x14ac:dyDescent="0.3">
      <c r="A16" s="467">
        <v>1</v>
      </c>
      <c r="B16" s="392" t="s">
        <v>207</v>
      </c>
      <c r="C16" s="468" t="s">
        <v>41</v>
      </c>
      <c r="D16" s="468" t="s">
        <v>44</v>
      </c>
      <c r="E16" s="468" t="s">
        <v>45</v>
      </c>
      <c r="F16" s="469" t="s">
        <v>46</v>
      </c>
      <c r="G16" s="470"/>
      <c r="H16" s="337">
        <f>H17+H71+H85</f>
        <v>1097686.2</v>
      </c>
      <c r="I16" s="337">
        <f>I17+I71+I85</f>
        <v>1098278.2</v>
      </c>
    </row>
    <row r="17" spans="1:9" ht="24" customHeight="1" x14ac:dyDescent="0.35">
      <c r="A17" s="461"/>
      <c r="B17" s="472" t="s">
        <v>208</v>
      </c>
      <c r="C17" s="635" t="s">
        <v>41</v>
      </c>
      <c r="D17" s="635" t="s">
        <v>47</v>
      </c>
      <c r="E17" s="635" t="s">
        <v>45</v>
      </c>
      <c r="F17" s="636" t="s">
        <v>46</v>
      </c>
      <c r="G17" s="312"/>
      <c r="H17" s="287">
        <f>H18+H32</f>
        <v>1008574.8</v>
      </c>
      <c r="I17" s="287">
        <f>I18+I32</f>
        <v>955979.39999999991</v>
      </c>
    </row>
    <row r="18" spans="1:9" ht="18" x14ac:dyDescent="0.35">
      <c r="A18" s="461"/>
      <c r="B18" s="472" t="s">
        <v>269</v>
      </c>
      <c r="C18" s="272" t="s">
        <v>41</v>
      </c>
      <c r="D18" s="273" t="s">
        <v>47</v>
      </c>
      <c r="E18" s="273" t="s">
        <v>39</v>
      </c>
      <c r="F18" s="274" t="s">
        <v>46</v>
      </c>
      <c r="G18" s="312"/>
      <c r="H18" s="287">
        <f>H25+H21+H28+H30+H19+H23</f>
        <v>388381.19999999995</v>
      </c>
      <c r="I18" s="287">
        <f>I25+I21+I28+I30+I19+I23</f>
        <v>343717.4</v>
      </c>
    </row>
    <row r="19" spans="1:9" ht="36" x14ac:dyDescent="0.35">
      <c r="A19" s="461"/>
      <c r="B19" s="472" t="s">
        <v>540</v>
      </c>
      <c r="C19" s="272" t="s">
        <v>41</v>
      </c>
      <c r="D19" s="273" t="s">
        <v>47</v>
      </c>
      <c r="E19" s="273" t="s">
        <v>39</v>
      </c>
      <c r="F19" s="274" t="s">
        <v>93</v>
      </c>
      <c r="G19" s="42"/>
      <c r="H19" s="287">
        <f>H20</f>
        <v>88673.2</v>
      </c>
      <c r="I19" s="287">
        <f>I20</f>
        <v>97540.6</v>
      </c>
    </row>
    <row r="20" spans="1:9" ht="42" customHeight="1" x14ac:dyDescent="0.35">
      <c r="A20" s="461"/>
      <c r="B20" s="472" t="s">
        <v>78</v>
      </c>
      <c r="C20" s="272" t="s">
        <v>41</v>
      </c>
      <c r="D20" s="273" t="s">
        <v>47</v>
      </c>
      <c r="E20" s="273" t="s">
        <v>39</v>
      </c>
      <c r="F20" s="274" t="s">
        <v>93</v>
      </c>
      <c r="G20" s="42" t="s">
        <v>79</v>
      </c>
      <c r="H20" s="287">
        <f>'прил10 (ведом 23-24)'!M291</f>
        <v>88673.2</v>
      </c>
      <c r="I20" s="287">
        <f>'прил10 (ведом 23-24)'!N291</f>
        <v>97540.6</v>
      </c>
    </row>
    <row r="21" spans="1:9" ht="42" customHeight="1" x14ac:dyDescent="0.35">
      <c r="A21" s="461"/>
      <c r="B21" s="285" t="s">
        <v>209</v>
      </c>
      <c r="C21" s="272" t="s">
        <v>41</v>
      </c>
      <c r="D21" s="273" t="s">
        <v>47</v>
      </c>
      <c r="E21" s="273" t="s">
        <v>39</v>
      </c>
      <c r="F21" s="274" t="s">
        <v>275</v>
      </c>
      <c r="G21" s="42"/>
      <c r="H21" s="287">
        <f>H22</f>
        <v>25889.5</v>
      </c>
      <c r="I21" s="287">
        <f>I22</f>
        <v>25889.5</v>
      </c>
    </row>
    <row r="22" spans="1:9" ht="42" customHeight="1" x14ac:dyDescent="0.35">
      <c r="A22" s="461"/>
      <c r="B22" s="285" t="s">
        <v>78</v>
      </c>
      <c r="C22" s="272" t="s">
        <v>41</v>
      </c>
      <c r="D22" s="273" t="s">
        <v>47</v>
      </c>
      <c r="E22" s="273" t="s">
        <v>39</v>
      </c>
      <c r="F22" s="274" t="s">
        <v>275</v>
      </c>
      <c r="G22" s="42" t="s">
        <v>79</v>
      </c>
      <c r="H22" s="287">
        <f>'прил10 (ведом 23-24)'!M293</f>
        <v>25889.5</v>
      </c>
      <c r="I22" s="287">
        <f>'прил10 (ведом 23-24)'!N293</f>
        <v>25889.5</v>
      </c>
    </row>
    <row r="23" spans="1:9" ht="42" customHeight="1" x14ac:dyDescent="0.35">
      <c r="A23" s="461"/>
      <c r="B23" s="285" t="s">
        <v>210</v>
      </c>
      <c r="C23" s="473" t="s">
        <v>41</v>
      </c>
      <c r="D23" s="474" t="s">
        <v>47</v>
      </c>
      <c r="E23" s="474" t="s">
        <v>39</v>
      </c>
      <c r="F23" s="475" t="s">
        <v>276</v>
      </c>
      <c r="G23" s="476"/>
      <c r="H23" s="287">
        <f>H24</f>
        <v>53548.399999999994</v>
      </c>
      <c r="I23" s="287">
        <f>I24</f>
        <v>0</v>
      </c>
    </row>
    <row r="24" spans="1:9" ht="42" customHeight="1" x14ac:dyDescent="0.35">
      <c r="A24" s="461"/>
      <c r="B24" s="477" t="s">
        <v>205</v>
      </c>
      <c r="C24" s="473" t="s">
        <v>41</v>
      </c>
      <c r="D24" s="474" t="s">
        <v>47</v>
      </c>
      <c r="E24" s="474" t="s">
        <v>39</v>
      </c>
      <c r="F24" s="475" t="s">
        <v>276</v>
      </c>
      <c r="G24" s="476" t="s">
        <v>206</v>
      </c>
      <c r="H24" s="287">
        <f>'прил10 (ведом 23-24)'!M247</f>
        <v>53548.399999999994</v>
      </c>
      <c r="I24" s="287">
        <f>'прил10 (ведом 23-24)'!N247</f>
        <v>0</v>
      </c>
    </row>
    <row r="25" spans="1:9" ht="117.75" customHeight="1" x14ac:dyDescent="0.35">
      <c r="A25" s="461"/>
      <c r="B25" s="472" t="s">
        <v>285</v>
      </c>
      <c r="C25" s="272" t="s">
        <v>41</v>
      </c>
      <c r="D25" s="273" t="s">
        <v>47</v>
      </c>
      <c r="E25" s="273" t="s">
        <v>39</v>
      </c>
      <c r="F25" s="274" t="s">
        <v>286</v>
      </c>
      <c r="G25" s="42"/>
      <c r="H25" s="287">
        <f>SUM(H26:H27)</f>
        <v>5452.5</v>
      </c>
      <c r="I25" s="287">
        <f>SUM(I26:I27)</f>
        <v>5452.5</v>
      </c>
    </row>
    <row r="26" spans="1:9" ht="36" x14ac:dyDescent="0.35">
      <c r="A26" s="461"/>
      <c r="B26" s="472" t="s">
        <v>57</v>
      </c>
      <c r="C26" s="272" t="s">
        <v>41</v>
      </c>
      <c r="D26" s="273" t="s">
        <v>47</v>
      </c>
      <c r="E26" s="273" t="s">
        <v>39</v>
      </c>
      <c r="F26" s="274" t="s">
        <v>286</v>
      </c>
      <c r="G26" s="42" t="s">
        <v>58</v>
      </c>
      <c r="H26" s="287">
        <f>'прил10 (ведом 23-24)'!M403</f>
        <v>80.5</v>
      </c>
      <c r="I26" s="287">
        <f>'прил10 (ведом 23-24)'!N403</f>
        <v>80.5</v>
      </c>
    </row>
    <row r="27" spans="1:9" ht="24" customHeight="1" x14ac:dyDescent="0.35">
      <c r="A27" s="461"/>
      <c r="B27" s="478" t="s">
        <v>122</v>
      </c>
      <c r="C27" s="272" t="s">
        <v>41</v>
      </c>
      <c r="D27" s="273" t="s">
        <v>47</v>
      </c>
      <c r="E27" s="273" t="s">
        <v>39</v>
      </c>
      <c r="F27" s="274" t="s">
        <v>286</v>
      </c>
      <c r="G27" s="42" t="s">
        <v>123</v>
      </c>
      <c r="H27" s="287">
        <f>'прил10 (ведом 23-24)'!M404</f>
        <v>5372</v>
      </c>
      <c r="I27" s="287">
        <f>'прил10 (ведом 23-24)'!N404</f>
        <v>5372</v>
      </c>
    </row>
    <row r="28" spans="1:9" ht="162" x14ac:dyDescent="0.35">
      <c r="A28" s="461"/>
      <c r="B28" s="472" t="s">
        <v>270</v>
      </c>
      <c r="C28" s="272" t="s">
        <v>41</v>
      </c>
      <c r="D28" s="273" t="s">
        <v>47</v>
      </c>
      <c r="E28" s="273" t="s">
        <v>39</v>
      </c>
      <c r="F28" s="274" t="s">
        <v>271</v>
      </c>
      <c r="G28" s="42"/>
      <c r="H28" s="287">
        <f>H29</f>
        <v>571.29999999999995</v>
      </c>
      <c r="I28" s="287">
        <f>I29</f>
        <v>588.5</v>
      </c>
    </row>
    <row r="29" spans="1:9" ht="42.75" customHeight="1" x14ac:dyDescent="0.35">
      <c r="A29" s="461"/>
      <c r="B29" s="472" t="s">
        <v>78</v>
      </c>
      <c r="C29" s="272" t="s">
        <v>41</v>
      </c>
      <c r="D29" s="273" t="s">
        <v>47</v>
      </c>
      <c r="E29" s="273" t="s">
        <v>39</v>
      </c>
      <c r="F29" s="274" t="s">
        <v>271</v>
      </c>
      <c r="G29" s="42" t="s">
        <v>79</v>
      </c>
      <c r="H29" s="287">
        <f>'прил10 (ведом 23-24)'!M295</f>
        <v>571.29999999999995</v>
      </c>
      <c r="I29" s="287">
        <f>'прил10 (ведом 23-24)'!N295</f>
        <v>588.5</v>
      </c>
    </row>
    <row r="30" spans="1:9" ht="97.5" customHeight="1" x14ac:dyDescent="0.35">
      <c r="A30" s="461"/>
      <c r="B30" s="472" t="s">
        <v>354</v>
      </c>
      <c r="C30" s="272" t="s">
        <v>41</v>
      </c>
      <c r="D30" s="273" t="s">
        <v>47</v>
      </c>
      <c r="E30" s="273" t="s">
        <v>39</v>
      </c>
      <c r="F30" s="274" t="s">
        <v>272</v>
      </c>
      <c r="G30" s="42"/>
      <c r="H30" s="287">
        <f>H31</f>
        <v>214246.3</v>
      </c>
      <c r="I30" s="287">
        <f>I31</f>
        <v>214246.3</v>
      </c>
    </row>
    <row r="31" spans="1:9" ht="42.75" customHeight="1" x14ac:dyDescent="0.35">
      <c r="A31" s="461"/>
      <c r="B31" s="478" t="s">
        <v>78</v>
      </c>
      <c r="C31" s="272" t="s">
        <v>41</v>
      </c>
      <c r="D31" s="273" t="s">
        <v>47</v>
      </c>
      <c r="E31" s="273" t="s">
        <v>39</v>
      </c>
      <c r="F31" s="274" t="s">
        <v>272</v>
      </c>
      <c r="G31" s="42" t="s">
        <v>79</v>
      </c>
      <c r="H31" s="287">
        <f>'прил10 (ведом 23-24)'!M297</f>
        <v>214246.3</v>
      </c>
      <c r="I31" s="287">
        <f>'прил10 (ведом 23-24)'!N297</f>
        <v>214246.3</v>
      </c>
    </row>
    <row r="32" spans="1:9" ht="18" x14ac:dyDescent="0.35">
      <c r="A32" s="461"/>
      <c r="B32" s="472" t="s">
        <v>274</v>
      </c>
      <c r="C32" s="272" t="s">
        <v>41</v>
      </c>
      <c r="D32" s="273" t="s">
        <v>47</v>
      </c>
      <c r="E32" s="273" t="s">
        <v>41</v>
      </c>
      <c r="F32" s="274" t="s">
        <v>46</v>
      </c>
      <c r="G32" s="42"/>
      <c r="H32" s="287">
        <f>H48+H52+H56+H33+H41+H62+H45+H38+H59+H67</f>
        <v>620193.60000000009</v>
      </c>
      <c r="I32" s="287">
        <f>I48+I52+I56+I33+I41+I62+I45+I38+I59+I67+I65</f>
        <v>612261.99999999988</v>
      </c>
    </row>
    <row r="33" spans="1:9" ht="36" x14ac:dyDescent="0.35">
      <c r="A33" s="461"/>
      <c r="B33" s="472" t="s">
        <v>540</v>
      </c>
      <c r="C33" s="272" t="s">
        <v>41</v>
      </c>
      <c r="D33" s="273" t="s">
        <v>47</v>
      </c>
      <c r="E33" s="273" t="s">
        <v>41</v>
      </c>
      <c r="F33" s="274" t="s">
        <v>93</v>
      </c>
      <c r="G33" s="42"/>
      <c r="H33" s="287">
        <f>SUM(H34:H37)</f>
        <v>63512.2</v>
      </c>
      <c r="I33" s="287">
        <f>SUM(I34:I37)</f>
        <v>69863.400000000009</v>
      </c>
    </row>
    <row r="34" spans="1:9" ht="90" x14ac:dyDescent="0.35">
      <c r="A34" s="461"/>
      <c r="B34" s="285" t="s">
        <v>51</v>
      </c>
      <c r="C34" s="272" t="s">
        <v>41</v>
      </c>
      <c r="D34" s="273" t="s">
        <v>47</v>
      </c>
      <c r="E34" s="273" t="s">
        <v>41</v>
      </c>
      <c r="F34" s="274" t="s">
        <v>93</v>
      </c>
      <c r="G34" s="42" t="s">
        <v>52</v>
      </c>
      <c r="H34" s="287">
        <f>'прил10 (ведом 23-24)'!M313</f>
        <v>319.10000000000002</v>
      </c>
      <c r="I34" s="287">
        <f>'прил10 (ведом 23-24)'!N313</f>
        <v>319.10000000000002</v>
      </c>
    </row>
    <row r="35" spans="1:9" ht="36" x14ac:dyDescent="0.35">
      <c r="A35" s="461"/>
      <c r="B35" s="285" t="s">
        <v>57</v>
      </c>
      <c r="C35" s="272" t="s">
        <v>41</v>
      </c>
      <c r="D35" s="273" t="s">
        <v>47</v>
      </c>
      <c r="E35" s="273" t="s">
        <v>41</v>
      </c>
      <c r="F35" s="274" t="s">
        <v>93</v>
      </c>
      <c r="G35" s="42" t="s">
        <v>58</v>
      </c>
      <c r="H35" s="287">
        <f>'прил10 (ведом 23-24)'!M314</f>
        <v>4475.6000000000004</v>
      </c>
      <c r="I35" s="287">
        <f>'прил10 (ведом 23-24)'!N314</f>
        <v>5635.2</v>
      </c>
    </row>
    <row r="36" spans="1:9" ht="43.5" customHeight="1" x14ac:dyDescent="0.35">
      <c r="A36" s="461"/>
      <c r="B36" s="472" t="s">
        <v>78</v>
      </c>
      <c r="C36" s="272" t="s">
        <v>41</v>
      </c>
      <c r="D36" s="273" t="s">
        <v>47</v>
      </c>
      <c r="E36" s="273" t="s">
        <v>41</v>
      </c>
      <c r="F36" s="274" t="s">
        <v>93</v>
      </c>
      <c r="G36" s="42" t="s">
        <v>79</v>
      </c>
      <c r="H36" s="287">
        <f>'прил10 (ведом 23-24)'!M315</f>
        <v>58156.5</v>
      </c>
      <c r="I36" s="287">
        <f>'прил10 (ведом 23-24)'!N315</f>
        <v>63353.5</v>
      </c>
    </row>
    <row r="37" spans="1:9" ht="18" x14ac:dyDescent="0.35">
      <c r="A37" s="461"/>
      <c r="B37" s="472" t="s">
        <v>59</v>
      </c>
      <c r="C37" s="272" t="s">
        <v>41</v>
      </c>
      <c r="D37" s="273" t="s">
        <v>47</v>
      </c>
      <c r="E37" s="273" t="s">
        <v>41</v>
      </c>
      <c r="F37" s="274" t="s">
        <v>93</v>
      </c>
      <c r="G37" s="42" t="s">
        <v>60</v>
      </c>
      <c r="H37" s="287">
        <f>'прил10 (ведом 23-24)'!M316</f>
        <v>561</v>
      </c>
      <c r="I37" s="287">
        <f>'прил10 (ведом 23-24)'!N316</f>
        <v>555.6</v>
      </c>
    </row>
    <row r="38" spans="1:9" ht="36" x14ac:dyDescent="0.35">
      <c r="A38" s="461"/>
      <c r="B38" s="285" t="s">
        <v>209</v>
      </c>
      <c r="C38" s="272" t="s">
        <v>41</v>
      </c>
      <c r="D38" s="273" t="s">
        <v>47</v>
      </c>
      <c r="E38" s="273" t="s">
        <v>41</v>
      </c>
      <c r="F38" s="274" t="s">
        <v>275</v>
      </c>
      <c r="G38" s="42"/>
      <c r="H38" s="287">
        <f>H39+H40</f>
        <v>19606.299999999996</v>
      </c>
      <c r="I38" s="287">
        <f>I39+I40</f>
        <v>20406</v>
      </c>
    </row>
    <row r="39" spans="1:9" ht="36" x14ac:dyDescent="0.35">
      <c r="A39" s="461"/>
      <c r="B39" s="285" t="s">
        <v>57</v>
      </c>
      <c r="C39" s="272" t="s">
        <v>41</v>
      </c>
      <c r="D39" s="273" t="s">
        <v>47</v>
      </c>
      <c r="E39" s="273" t="s">
        <v>41</v>
      </c>
      <c r="F39" s="274" t="s">
        <v>275</v>
      </c>
      <c r="G39" s="42" t="s">
        <v>58</v>
      </c>
      <c r="H39" s="287">
        <f>'прил10 (ведом 23-24)'!M318</f>
        <v>0</v>
      </c>
      <c r="I39" s="287">
        <f>'прил10 (ведом 23-24)'!N318</f>
        <v>3854.4</v>
      </c>
    </row>
    <row r="40" spans="1:9" ht="36" x14ac:dyDescent="0.35">
      <c r="A40" s="461"/>
      <c r="B40" s="285" t="s">
        <v>78</v>
      </c>
      <c r="C40" s="272" t="s">
        <v>41</v>
      </c>
      <c r="D40" s="273" t="s">
        <v>47</v>
      </c>
      <c r="E40" s="273" t="s">
        <v>41</v>
      </c>
      <c r="F40" s="274" t="s">
        <v>275</v>
      </c>
      <c r="G40" s="42" t="s">
        <v>79</v>
      </c>
      <c r="H40" s="287">
        <f>'прил10 (ведом 23-24)'!M319</f>
        <v>19606.299999999996</v>
      </c>
      <c r="I40" s="287">
        <f>'прил10 (ведом 23-24)'!N319</f>
        <v>16551.599999999999</v>
      </c>
    </row>
    <row r="41" spans="1:9" ht="36" x14ac:dyDescent="0.35">
      <c r="A41" s="461"/>
      <c r="B41" s="285" t="s">
        <v>210</v>
      </c>
      <c r="C41" s="272" t="s">
        <v>41</v>
      </c>
      <c r="D41" s="273" t="s">
        <v>47</v>
      </c>
      <c r="E41" s="273" t="s">
        <v>41</v>
      </c>
      <c r="F41" s="274" t="s">
        <v>276</v>
      </c>
      <c r="G41" s="42"/>
      <c r="H41" s="287">
        <f>H42+H44+H43</f>
        <v>26825.699999999997</v>
      </c>
      <c r="I41" s="287">
        <f>I42+I44+I43</f>
        <v>4618.1000000000004</v>
      </c>
    </row>
    <row r="42" spans="1:9" ht="36" x14ac:dyDescent="0.35">
      <c r="A42" s="461"/>
      <c r="B42" s="285" t="s">
        <v>57</v>
      </c>
      <c r="C42" s="272" t="s">
        <v>41</v>
      </c>
      <c r="D42" s="273" t="s">
        <v>47</v>
      </c>
      <c r="E42" s="273" t="s">
        <v>41</v>
      </c>
      <c r="F42" s="274" t="s">
        <v>276</v>
      </c>
      <c r="G42" s="42" t="s">
        <v>58</v>
      </c>
      <c r="H42" s="287">
        <f>'прил10 (ведом 23-24)'!M321</f>
        <v>142</v>
      </c>
      <c r="I42" s="287">
        <f>'прил10 (ведом 23-24)'!N321</f>
        <v>142</v>
      </c>
    </row>
    <row r="43" spans="1:9" ht="36" x14ac:dyDescent="0.35">
      <c r="A43" s="461"/>
      <c r="B43" s="477" t="s">
        <v>205</v>
      </c>
      <c r="C43" s="272" t="s">
        <v>41</v>
      </c>
      <c r="D43" s="273" t="s">
        <v>47</v>
      </c>
      <c r="E43" s="273" t="s">
        <v>41</v>
      </c>
      <c r="F43" s="274" t="s">
        <v>276</v>
      </c>
      <c r="G43" s="42" t="s">
        <v>206</v>
      </c>
      <c r="H43" s="287">
        <f>'прил10 (ведом 23-24)'!M253</f>
        <v>22207.599999999999</v>
      </c>
      <c r="I43" s="287">
        <f>'прил10 (ведом 23-24)'!N253</f>
        <v>0</v>
      </c>
    </row>
    <row r="44" spans="1:9" ht="37.5" customHeight="1" x14ac:dyDescent="0.35">
      <c r="A44" s="461"/>
      <c r="B44" s="285" t="s">
        <v>78</v>
      </c>
      <c r="C44" s="272" t="s">
        <v>41</v>
      </c>
      <c r="D44" s="273" t="s">
        <v>47</v>
      </c>
      <c r="E44" s="273" t="s">
        <v>41</v>
      </c>
      <c r="F44" s="274" t="s">
        <v>276</v>
      </c>
      <c r="G44" s="42" t="s">
        <v>79</v>
      </c>
      <c r="H44" s="287">
        <f>'прил10 (ведом 23-24)'!M322</f>
        <v>4476.1000000000004</v>
      </c>
      <c r="I44" s="287">
        <f>'прил10 (ведом 23-24)'!N322</f>
        <v>4476.1000000000004</v>
      </c>
    </row>
    <row r="45" spans="1:9" ht="144" x14ac:dyDescent="0.35">
      <c r="A45" s="461"/>
      <c r="B45" s="285" t="s">
        <v>687</v>
      </c>
      <c r="C45" s="272" t="s">
        <v>41</v>
      </c>
      <c r="D45" s="273" t="s">
        <v>47</v>
      </c>
      <c r="E45" s="273" t="s">
        <v>41</v>
      </c>
      <c r="F45" s="274" t="s">
        <v>686</v>
      </c>
      <c r="G45" s="42"/>
      <c r="H45" s="287">
        <f>H46+H47</f>
        <v>33409.299999999996</v>
      </c>
      <c r="I45" s="287">
        <f>I46+I47</f>
        <v>35284.199999999997</v>
      </c>
    </row>
    <row r="46" spans="1:9" ht="90.75" customHeight="1" x14ac:dyDescent="0.35">
      <c r="A46" s="461"/>
      <c r="B46" s="285" t="s">
        <v>51</v>
      </c>
      <c r="C46" s="272" t="s">
        <v>41</v>
      </c>
      <c r="D46" s="273" t="s">
        <v>47</v>
      </c>
      <c r="E46" s="273" t="s">
        <v>41</v>
      </c>
      <c r="F46" s="274" t="s">
        <v>686</v>
      </c>
      <c r="G46" s="42" t="s">
        <v>52</v>
      </c>
      <c r="H46" s="287">
        <f>'прил10 (ведом 23-24)'!M324</f>
        <v>2734.2</v>
      </c>
      <c r="I46" s="287">
        <f>'прил10 (ведом 23-24)'!N324</f>
        <v>2812.4</v>
      </c>
    </row>
    <row r="47" spans="1:9" ht="36" customHeight="1" x14ac:dyDescent="0.35">
      <c r="A47" s="461"/>
      <c r="B47" s="285" t="s">
        <v>78</v>
      </c>
      <c r="C47" s="272" t="s">
        <v>41</v>
      </c>
      <c r="D47" s="273" t="s">
        <v>47</v>
      </c>
      <c r="E47" s="273" t="s">
        <v>41</v>
      </c>
      <c r="F47" s="274" t="s">
        <v>686</v>
      </c>
      <c r="G47" s="42" t="s">
        <v>79</v>
      </c>
      <c r="H47" s="287">
        <f>'прил10 (ведом 23-24)'!M325</f>
        <v>30675.1</v>
      </c>
      <c r="I47" s="287">
        <f>'прил10 (ведом 23-24)'!N325</f>
        <v>32471.8</v>
      </c>
    </row>
    <row r="48" spans="1:9" ht="162" x14ac:dyDescent="0.35">
      <c r="A48" s="461"/>
      <c r="B48" s="472" t="s">
        <v>270</v>
      </c>
      <c r="C48" s="272" t="s">
        <v>41</v>
      </c>
      <c r="D48" s="273" t="s">
        <v>47</v>
      </c>
      <c r="E48" s="273" t="s">
        <v>41</v>
      </c>
      <c r="F48" s="274" t="s">
        <v>271</v>
      </c>
      <c r="G48" s="42"/>
      <c r="H48" s="287">
        <f>SUM(H49:H51)</f>
        <v>1659.2</v>
      </c>
      <c r="I48" s="287">
        <f>SUM(I49:I51)</f>
        <v>1709</v>
      </c>
    </row>
    <row r="49" spans="1:9" ht="90" x14ac:dyDescent="0.35">
      <c r="A49" s="461"/>
      <c r="B49" s="285" t="s">
        <v>51</v>
      </c>
      <c r="C49" s="272" t="s">
        <v>41</v>
      </c>
      <c r="D49" s="273" t="s">
        <v>47</v>
      </c>
      <c r="E49" s="273" t="s">
        <v>41</v>
      </c>
      <c r="F49" s="274" t="s">
        <v>271</v>
      </c>
      <c r="G49" s="42" t="s">
        <v>52</v>
      </c>
      <c r="H49" s="287">
        <f>'прил10 (ведом 23-24)'!M327</f>
        <v>99.7</v>
      </c>
      <c r="I49" s="287">
        <f>'прил10 (ведом 23-24)'!N327</f>
        <v>99.7</v>
      </c>
    </row>
    <row r="50" spans="1:9" ht="26.25" customHeight="1" x14ac:dyDescent="0.35">
      <c r="A50" s="461"/>
      <c r="B50" s="285" t="s">
        <v>122</v>
      </c>
      <c r="C50" s="272" t="s">
        <v>41</v>
      </c>
      <c r="D50" s="273" t="s">
        <v>47</v>
      </c>
      <c r="E50" s="273" t="s">
        <v>41</v>
      </c>
      <c r="F50" s="274" t="s">
        <v>271</v>
      </c>
      <c r="G50" s="42" t="s">
        <v>123</v>
      </c>
      <c r="H50" s="287">
        <f>'прил10 (ведом 23-24)'!M328</f>
        <v>6.6</v>
      </c>
      <c r="I50" s="287">
        <f>'прил10 (ведом 23-24)'!N328</f>
        <v>6.6</v>
      </c>
    </row>
    <row r="51" spans="1:9" ht="39" customHeight="1" x14ac:dyDescent="0.35">
      <c r="A51" s="461"/>
      <c r="B51" s="472" t="s">
        <v>78</v>
      </c>
      <c r="C51" s="272" t="s">
        <v>41</v>
      </c>
      <c r="D51" s="273" t="s">
        <v>47</v>
      </c>
      <c r="E51" s="273" t="s">
        <v>41</v>
      </c>
      <c r="F51" s="274" t="s">
        <v>271</v>
      </c>
      <c r="G51" s="42" t="s">
        <v>79</v>
      </c>
      <c r="H51" s="287">
        <f>'прил10 (ведом 23-24)'!M329</f>
        <v>1552.9</v>
      </c>
      <c r="I51" s="287">
        <f>'прил10 (ведом 23-24)'!N329</f>
        <v>1602.7</v>
      </c>
    </row>
    <row r="52" spans="1:9" ht="93" customHeight="1" x14ac:dyDescent="0.35">
      <c r="A52" s="461"/>
      <c r="B52" s="472" t="s">
        <v>354</v>
      </c>
      <c r="C52" s="272" t="s">
        <v>41</v>
      </c>
      <c r="D52" s="273" t="s">
        <v>47</v>
      </c>
      <c r="E52" s="273" t="s">
        <v>41</v>
      </c>
      <c r="F52" s="274" t="s">
        <v>272</v>
      </c>
      <c r="G52" s="42"/>
      <c r="H52" s="287">
        <f>SUM(H53:H55)</f>
        <v>402579.3</v>
      </c>
      <c r="I52" s="287">
        <f>SUM(I53:I55)</f>
        <v>402579.3</v>
      </c>
    </row>
    <row r="53" spans="1:9" ht="90" x14ac:dyDescent="0.35">
      <c r="A53" s="461"/>
      <c r="B53" s="472" t="s">
        <v>51</v>
      </c>
      <c r="C53" s="272" t="s">
        <v>41</v>
      </c>
      <c r="D53" s="273" t="s">
        <v>47</v>
      </c>
      <c r="E53" s="273" t="s">
        <v>41</v>
      </c>
      <c r="F53" s="274" t="s">
        <v>272</v>
      </c>
      <c r="G53" s="42" t="s">
        <v>52</v>
      </c>
      <c r="H53" s="287">
        <f>'прил10 (ведом 23-24)'!M331</f>
        <v>26623.599999999999</v>
      </c>
      <c r="I53" s="287">
        <f>'прил10 (ведом 23-24)'!N331</f>
        <v>26623.599999999999</v>
      </c>
    </row>
    <row r="54" spans="1:9" ht="36" x14ac:dyDescent="0.35">
      <c r="A54" s="461"/>
      <c r="B54" s="472" t="s">
        <v>57</v>
      </c>
      <c r="C54" s="272" t="s">
        <v>41</v>
      </c>
      <c r="D54" s="273" t="s">
        <v>47</v>
      </c>
      <c r="E54" s="273" t="s">
        <v>41</v>
      </c>
      <c r="F54" s="274" t="s">
        <v>272</v>
      </c>
      <c r="G54" s="42" t="s">
        <v>58</v>
      </c>
      <c r="H54" s="287">
        <f>'прил10 (ведом 23-24)'!M332</f>
        <v>3027.7</v>
      </c>
      <c r="I54" s="287">
        <f>'прил10 (ведом 23-24)'!N332</f>
        <v>3027.7</v>
      </c>
    </row>
    <row r="55" spans="1:9" ht="43.5" customHeight="1" x14ac:dyDescent="0.35">
      <c r="A55" s="461"/>
      <c r="B55" s="472" t="s">
        <v>78</v>
      </c>
      <c r="C55" s="272" t="s">
        <v>41</v>
      </c>
      <c r="D55" s="273" t="s">
        <v>47</v>
      </c>
      <c r="E55" s="273" t="s">
        <v>41</v>
      </c>
      <c r="F55" s="274" t="s">
        <v>272</v>
      </c>
      <c r="G55" s="42" t="s">
        <v>79</v>
      </c>
      <c r="H55" s="287">
        <f>'прил10 (ведом 23-24)'!M333</f>
        <v>372928</v>
      </c>
      <c r="I55" s="287">
        <f>'прил10 (ведом 23-24)'!N333</f>
        <v>372928</v>
      </c>
    </row>
    <row r="56" spans="1:9" ht="78" customHeight="1" x14ac:dyDescent="0.35">
      <c r="A56" s="461"/>
      <c r="B56" s="472" t="s">
        <v>211</v>
      </c>
      <c r="C56" s="635" t="s">
        <v>41</v>
      </c>
      <c r="D56" s="635" t="s">
        <v>47</v>
      </c>
      <c r="E56" s="635" t="s">
        <v>41</v>
      </c>
      <c r="F56" s="636" t="s">
        <v>277</v>
      </c>
      <c r="G56" s="312"/>
      <c r="H56" s="287">
        <f>SUM(H57:H58)</f>
        <v>2380.9</v>
      </c>
      <c r="I56" s="287">
        <f>SUM(I57:I58)</f>
        <v>2550.2999999999997</v>
      </c>
    </row>
    <row r="57" spans="1:9" ht="36" x14ac:dyDescent="0.35">
      <c r="A57" s="461"/>
      <c r="B57" s="285" t="s">
        <v>57</v>
      </c>
      <c r="C57" s="272" t="s">
        <v>41</v>
      </c>
      <c r="D57" s="273" t="s">
        <v>47</v>
      </c>
      <c r="E57" s="273" t="s">
        <v>41</v>
      </c>
      <c r="F57" s="274" t="s">
        <v>277</v>
      </c>
      <c r="G57" s="42" t="s">
        <v>58</v>
      </c>
      <c r="H57" s="287">
        <f>'прил10 (ведом 23-24)'!M335</f>
        <v>102.8</v>
      </c>
      <c r="I57" s="287">
        <f>'прил10 (ведом 23-24)'!N335</f>
        <v>111.2</v>
      </c>
    </row>
    <row r="58" spans="1:9" ht="45.75" customHeight="1" x14ac:dyDescent="0.35">
      <c r="A58" s="461"/>
      <c r="B58" s="472" t="s">
        <v>78</v>
      </c>
      <c r="C58" s="635" t="s">
        <v>41</v>
      </c>
      <c r="D58" s="635" t="s">
        <v>47</v>
      </c>
      <c r="E58" s="635" t="s">
        <v>41</v>
      </c>
      <c r="F58" s="636" t="s">
        <v>277</v>
      </c>
      <c r="G58" s="312" t="s">
        <v>79</v>
      </c>
      <c r="H58" s="287">
        <f>'прил10 (ведом 23-24)'!M336</f>
        <v>2278.1</v>
      </c>
      <c r="I58" s="287">
        <f>'прил10 (ведом 23-24)'!N336</f>
        <v>2439.1</v>
      </c>
    </row>
    <row r="59" spans="1:9" ht="143.4" customHeight="1" x14ac:dyDescent="0.35">
      <c r="A59" s="461"/>
      <c r="B59" s="31" t="s">
        <v>723</v>
      </c>
      <c r="C59" s="637" t="s">
        <v>41</v>
      </c>
      <c r="D59" s="638" t="s">
        <v>47</v>
      </c>
      <c r="E59" s="638" t="s">
        <v>41</v>
      </c>
      <c r="F59" s="639" t="s">
        <v>722</v>
      </c>
      <c r="G59" s="17"/>
      <c r="H59" s="287">
        <f>H60+H61</f>
        <v>1196.0999999999999</v>
      </c>
      <c r="I59" s="287">
        <f>I60+I61</f>
        <v>1196.0999999999999</v>
      </c>
    </row>
    <row r="60" spans="1:9" ht="45.75" customHeight="1" x14ac:dyDescent="0.35">
      <c r="A60" s="461"/>
      <c r="B60" s="31" t="s">
        <v>57</v>
      </c>
      <c r="C60" s="637" t="s">
        <v>41</v>
      </c>
      <c r="D60" s="638" t="s">
        <v>47</v>
      </c>
      <c r="E60" s="638" t="s">
        <v>41</v>
      </c>
      <c r="F60" s="639" t="s">
        <v>722</v>
      </c>
      <c r="G60" s="17" t="s">
        <v>58</v>
      </c>
      <c r="H60" s="287">
        <f>'прил10 (ведом 23-24)'!M338</f>
        <v>15</v>
      </c>
      <c r="I60" s="287">
        <f>'прил10 (ведом 23-24)'!N338</f>
        <v>15</v>
      </c>
    </row>
    <row r="61" spans="1:9" ht="45.75" customHeight="1" x14ac:dyDescent="0.35">
      <c r="A61" s="461"/>
      <c r="B61" s="31" t="s">
        <v>78</v>
      </c>
      <c r="C61" s="637" t="s">
        <v>41</v>
      </c>
      <c r="D61" s="638" t="s">
        <v>47</v>
      </c>
      <c r="E61" s="638" t="s">
        <v>41</v>
      </c>
      <c r="F61" s="639" t="s">
        <v>722</v>
      </c>
      <c r="G61" s="17" t="s">
        <v>79</v>
      </c>
      <c r="H61" s="287">
        <f>'прил10 (ведом 23-24)'!M339</f>
        <v>1181.0999999999999</v>
      </c>
      <c r="I61" s="287">
        <f>'прил10 (ведом 23-24)'!N339</f>
        <v>1181.0999999999999</v>
      </c>
    </row>
    <row r="62" spans="1:9" ht="72.75" customHeight="1" x14ac:dyDescent="0.35">
      <c r="A62" s="461"/>
      <c r="B62" s="285" t="s">
        <v>530</v>
      </c>
      <c r="C62" s="272" t="s">
        <v>41</v>
      </c>
      <c r="D62" s="273" t="s">
        <v>47</v>
      </c>
      <c r="E62" s="273" t="s">
        <v>41</v>
      </c>
      <c r="F62" s="274" t="s">
        <v>529</v>
      </c>
      <c r="G62" s="42"/>
      <c r="H62" s="287">
        <f>H63+H64</f>
        <v>56500.700000000004</v>
      </c>
      <c r="I62" s="287">
        <f>I63+I64</f>
        <v>57707.200000000004</v>
      </c>
    </row>
    <row r="63" spans="1:9" ht="33.75" customHeight="1" x14ac:dyDescent="0.35">
      <c r="A63" s="461"/>
      <c r="B63" s="285" t="s">
        <v>57</v>
      </c>
      <c r="C63" s="272" t="s">
        <v>41</v>
      </c>
      <c r="D63" s="273" t="s">
        <v>47</v>
      </c>
      <c r="E63" s="273" t="s">
        <v>41</v>
      </c>
      <c r="F63" s="274" t="s">
        <v>529</v>
      </c>
      <c r="G63" s="42" t="s">
        <v>58</v>
      </c>
      <c r="H63" s="287">
        <f>'прил10 (ведом 23-24)'!M341</f>
        <v>1755.4</v>
      </c>
      <c r="I63" s="287">
        <f>'прил10 (ведом 23-24)'!N341</f>
        <v>1801.9</v>
      </c>
    </row>
    <row r="64" spans="1:9" ht="35.25" customHeight="1" x14ac:dyDescent="0.35">
      <c r="A64" s="461"/>
      <c r="B64" s="285" t="s">
        <v>78</v>
      </c>
      <c r="C64" s="272" t="s">
        <v>41</v>
      </c>
      <c r="D64" s="273" t="s">
        <v>47</v>
      </c>
      <c r="E64" s="273" t="s">
        <v>41</v>
      </c>
      <c r="F64" s="274" t="s">
        <v>529</v>
      </c>
      <c r="G64" s="42" t="s">
        <v>79</v>
      </c>
      <c r="H64" s="287">
        <f>'прил10 (ведом 23-24)'!M342</f>
        <v>54745.3</v>
      </c>
      <c r="I64" s="287">
        <f>'прил10 (ведом 23-24)'!N342</f>
        <v>55905.3</v>
      </c>
    </row>
    <row r="65" spans="1:9" ht="158.4" customHeight="1" x14ac:dyDescent="0.35">
      <c r="A65" s="461"/>
      <c r="B65" s="31" t="s">
        <v>724</v>
      </c>
      <c r="C65" s="637" t="s">
        <v>41</v>
      </c>
      <c r="D65" s="638" t="s">
        <v>47</v>
      </c>
      <c r="E65" s="638" t="s">
        <v>41</v>
      </c>
      <c r="F65" s="639" t="s">
        <v>725</v>
      </c>
      <c r="G65" s="17"/>
      <c r="H65" s="287">
        <f>H66</f>
        <v>0</v>
      </c>
      <c r="I65" s="287">
        <f>I66</f>
        <v>3900.6</v>
      </c>
    </row>
    <row r="66" spans="1:9" ht="46.95" customHeight="1" x14ac:dyDescent="0.35">
      <c r="A66" s="461"/>
      <c r="B66" s="31" t="s">
        <v>78</v>
      </c>
      <c r="C66" s="637" t="s">
        <v>41</v>
      </c>
      <c r="D66" s="638" t="s">
        <v>47</v>
      </c>
      <c r="E66" s="638" t="s">
        <v>41</v>
      </c>
      <c r="F66" s="639" t="s">
        <v>725</v>
      </c>
      <c r="G66" s="17" t="s">
        <v>79</v>
      </c>
      <c r="H66" s="287">
        <f>'прил10 (ведом 23-24)'!M344</f>
        <v>0</v>
      </c>
      <c r="I66" s="287">
        <f>'прил10 (ведом 23-24)'!N344</f>
        <v>3900.6</v>
      </c>
    </row>
    <row r="67" spans="1:9" ht="77.400000000000006" customHeight="1" x14ac:dyDescent="0.35">
      <c r="A67" s="461"/>
      <c r="B67" s="31" t="s">
        <v>720</v>
      </c>
      <c r="C67" s="637" t="s">
        <v>41</v>
      </c>
      <c r="D67" s="638" t="s">
        <v>47</v>
      </c>
      <c r="E67" s="638" t="s">
        <v>41</v>
      </c>
      <c r="F67" s="639" t="s">
        <v>719</v>
      </c>
      <c r="G67" s="42"/>
      <c r="H67" s="287">
        <f>H68+H69+H70</f>
        <v>12523.9</v>
      </c>
      <c r="I67" s="287">
        <f>I68+I69+I70</f>
        <v>12447.800000000001</v>
      </c>
    </row>
    <row r="68" spans="1:9" ht="35.25" customHeight="1" x14ac:dyDescent="0.35">
      <c r="A68" s="461"/>
      <c r="B68" s="31" t="s">
        <v>57</v>
      </c>
      <c r="C68" s="637" t="s">
        <v>41</v>
      </c>
      <c r="D68" s="638" t="s">
        <v>47</v>
      </c>
      <c r="E68" s="638" t="s">
        <v>41</v>
      </c>
      <c r="F68" s="639" t="s">
        <v>719</v>
      </c>
      <c r="G68" s="17" t="s">
        <v>58</v>
      </c>
      <c r="H68" s="287">
        <f>'прил10 (ведом 23-24)'!M346</f>
        <v>80</v>
      </c>
      <c r="I68" s="287">
        <f>'прил10 (ведом 23-24)'!N346</f>
        <v>79.5</v>
      </c>
    </row>
    <row r="69" spans="1:9" ht="35.25" customHeight="1" x14ac:dyDescent="0.35">
      <c r="A69" s="461"/>
      <c r="B69" s="31" t="s">
        <v>122</v>
      </c>
      <c r="C69" s="637" t="s">
        <v>41</v>
      </c>
      <c r="D69" s="638" t="s">
        <v>47</v>
      </c>
      <c r="E69" s="638" t="s">
        <v>41</v>
      </c>
      <c r="F69" s="639" t="s">
        <v>719</v>
      </c>
      <c r="G69" s="17" t="s">
        <v>123</v>
      </c>
      <c r="H69" s="287">
        <f>'прил10 (ведом 23-24)'!M347</f>
        <v>64</v>
      </c>
      <c r="I69" s="287">
        <f>'прил10 (ведом 23-24)'!N347</f>
        <v>63.6</v>
      </c>
    </row>
    <row r="70" spans="1:9" ht="35.25" customHeight="1" x14ac:dyDescent="0.35">
      <c r="A70" s="461"/>
      <c r="B70" s="31" t="s">
        <v>78</v>
      </c>
      <c r="C70" s="637" t="s">
        <v>41</v>
      </c>
      <c r="D70" s="638" t="s">
        <v>47</v>
      </c>
      <c r="E70" s="638" t="s">
        <v>41</v>
      </c>
      <c r="F70" s="639" t="s">
        <v>719</v>
      </c>
      <c r="G70" s="17" t="s">
        <v>79</v>
      </c>
      <c r="H70" s="287">
        <f>'прил10 (ведом 23-24)'!M348</f>
        <v>12379.9</v>
      </c>
      <c r="I70" s="287">
        <f>'прил10 (ведом 23-24)'!N348</f>
        <v>12304.7</v>
      </c>
    </row>
    <row r="71" spans="1:9" ht="18" x14ac:dyDescent="0.35">
      <c r="A71" s="461"/>
      <c r="B71" s="472" t="s">
        <v>212</v>
      </c>
      <c r="C71" s="272" t="s">
        <v>41</v>
      </c>
      <c r="D71" s="273" t="s">
        <v>91</v>
      </c>
      <c r="E71" s="273" t="s">
        <v>45</v>
      </c>
      <c r="F71" s="274" t="s">
        <v>46</v>
      </c>
      <c r="G71" s="312"/>
      <c r="H71" s="287">
        <f>H72</f>
        <v>61998.399999999994</v>
      </c>
      <c r="I71" s="287">
        <f>I72</f>
        <v>67055.8</v>
      </c>
    </row>
    <row r="72" spans="1:9" ht="36" x14ac:dyDescent="0.35">
      <c r="A72" s="461"/>
      <c r="B72" s="472" t="s">
        <v>278</v>
      </c>
      <c r="C72" s="272" t="s">
        <v>41</v>
      </c>
      <c r="D72" s="273" t="s">
        <v>91</v>
      </c>
      <c r="E72" s="273" t="s">
        <v>39</v>
      </c>
      <c r="F72" s="274" t="s">
        <v>46</v>
      </c>
      <c r="G72" s="312"/>
      <c r="H72" s="287">
        <f>H73+H81+H83+H78</f>
        <v>61998.399999999994</v>
      </c>
      <c r="I72" s="287">
        <f>I73+I81+I83+I78</f>
        <v>67055.8</v>
      </c>
    </row>
    <row r="73" spans="1:9" ht="36" x14ac:dyDescent="0.35">
      <c r="A73" s="461"/>
      <c r="B73" s="472" t="s">
        <v>540</v>
      </c>
      <c r="C73" s="272" t="s">
        <v>41</v>
      </c>
      <c r="D73" s="273" t="s">
        <v>91</v>
      </c>
      <c r="E73" s="273" t="s">
        <v>39</v>
      </c>
      <c r="F73" s="274" t="s">
        <v>93</v>
      </c>
      <c r="G73" s="42"/>
      <c r="H73" s="287">
        <f>SUM(H74:H77)</f>
        <v>50541.2</v>
      </c>
      <c r="I73" s="287">
        <f>SUM(I74:I77)</f>
        <v>55595.3</v>
      </c>
    </row>
    <row r="74" spans="1:9" ht="90" x14ac:dyDescent="0.35">
      <c r="A74" s="461"/>
      <c r="B74" s="285" t="s">
        <v>51</v>
      </c>
      <c r="C74" s="272" t="s">
        <v>41</v>
      </c>
      <c r="D74" s="273" t="s">
        <v>91</v>
      </c>
      <c r="E74" s="273" t="s">
        <v>39</v>
      </c>
      <c r="F74" s="274" t="s">
        <v>93</v>
      </c>
      <c r="G74" s="42" t="s">
        <v>52</v>
      </c>
      <c r="H74" s="287">
        <f>'прил10 (ведом 23-24)'!M358</f>
        <v>20212.7</v>
      </c>
      <c r="I74" s="287">
        <f>'прил10 (ведом 23-24)'!N358</f>
        <v>20212.7</v>
      </c>
    </row>
    <row r="75" spans="1:9" ht="36" x14ac:dyDescent="0.35">
      <c r="A75" s="461"/>
      <c r="B75" s="285" t="s">
        <v>57</v>
      </c>
      <c r="C75" s="272" t="s">
        <v>41</v>
      </c>
      <c r="D75" s="273" t="s">
        <v>91</v>
      </c>
      <c r="E75" s="273" t="s">
        <v>39</v>
      </c>
      <c r="F75" s="274" t="s">
        <v>93</v>
      </c>
      <c r="G75" s="42" t="s">
        <v>58</v>
      </c>
      <c r="H75" s="287">
        <f>'прил10 (ведом 23-24)'!M359</f>
        <v>1988.9</v>
      </c>
      <c r="I75" s="287">
        <f>'прил10 (ведом 23-24)'!N359</f>
        <v>4230.6000000000004</v>
      </c>
    </row>
    <row r="76" spans="1:9" ht="46.5" customHeight="1" x14ac:dyDescent="0.35">
      <c r="A76" s="461"/>
      <c r="B76" s="472" t="s">
        <v>78</v>
      </c>
      <c r="C76" s="272" t="s">
        <v>41</v>
      </c>
      <c r="D76" s="273" t="s">
        <v>91</v>
      </c>
      <c r="E76" s="273" t="s">
        <v>39</v>
      </c>
      <c r="F76" s="274" t="s">
        <v>93</v>
      </c>
      <c r="G76" s="42" t="s">
        <v>79</v>
      </c>
      <c r="H76" s="287">
        <f>'прил10 (ведом 23-24)'!M360</f>
        <v>28226.400000000001</v>
      </c>
      <c r="I76" s="287">
        <f>'прил10 (ведом 23-24)'!N360</f>
        <v>31039</v>
      </c>
    </row>
    <row r="77" spans="1:9" ht="18" x14ac:dyDescent="0.35">
      <c r="A77" s="461"/>
      <c r="B77" s="285" t="s">
        <v>59</v>
      </c>
      <c r="C77" s="272" t="s">
        <v>41</v>
      </c>
      <c r="D77" s="273" t="s">
        <v>91</v>
      </c>
      <c r="E77" s="273" t="s">
        <v>39</v>
      </c>
      <c r="F77" s="274" t="s">
        <v>93</v>
      </c>
      <c r="G77" s="42" t="s">
        <v>60</v>
      </c>
      <c r="H77" s="287">
        <f>'прил10 (ведом 23-24)'!M361</f>
        <v>113.2</v>
      </c>
      <c r="I77" s="287">
        <f>'прил10 (ведом 23-24)'!N361</f>
        <v>113</v>
      </c>
    </row>
    <row r="78" spans="1:9" ht="36" x14ac:dyDescent="0.35">
      <c r="A78" s="461"/>
      <c r="B78" s="285" t="s">
        <v>209</v>
      </c>
      <c r="C78" s="272" t="s">
        <v>41</v>
      </c>
      <c r="D78" s="273" t="s">
        <v>91</v>
      </c>
      <c r="E78" s="273" t="s">
        <v>39</v>
      </c>
      <c r="F78" s="274" t="s">
        <v>275</v>
      </c>
      <c r="G78" s="42"/>
      <c r="H78" s="287">
        <f>H79+H80</f>
        <v>1260</v>
      </c>
      <c r="I78" s="287">
        <f>I79+I80</f>
        <v>1260</v>
      </c>
    </row>
    <row r="79" spans="1:9" ht="36" x14ac:dyDescent="0.35">
      <c r="A79" s="461"/>
      <c r="B79" s="285" t="s">
        <v>57</v>
      </c>
      <c r="C79" s="272" t="s">
        <v>41</v>
      </c>
      <c r="D79" s="273" t="s">
        <v>91</v>
      </c>
      <c r="E79" s="273" t="s">
        <v>39</v>
      </c>
      <c r="F79" s="274" t="s">
        <v>275</v>
      </c>
      <c r="G79" s="42" t="s">
        <v>58</v>
      </c>
      <c r="H79" s="287">
        <f>'прил10 (ведом 23-24)'!M363</f>
        <v>506.3</v>
      </c>
      <c r="I79" s="287">
        <f>'прил10 (ведом 23-24)'!N363</f>
        <v>506.3</v>
      </c>
    </row>
    <row r="80" spans="1:9" ht="36" x14ac:dyDescent="0.35">
      <c r="A80" s="461"/>
      <c r="B80" s="479" t="s">
        <v>78</v>
      </c>
      <c r="C80" s="272" t="s">
        <v>41</v>
      </c>
      <c r="D80" s="273" t="s">
        <v>91</v>
      </c>
      <c r="E80" s="273" t="s">
        <v>39</v>
      </c>
      <c r="F80" s="274" t="s">
        <v>275</v>
      </c>
      <c r="G80" s="42" t="s">
        <v>79</v>
      </c>
      <c r="H80" s="287">
        <f>'прил10 (ведом 23-24)'!M364</f>
        <v>753.7</v>
      </c>
      <c r="I80" s="287">
        <f>'прил10 (ведом 23-24)'!N364</f>
        <v>753.7</v>
      </c>
    </row>
    <row r="81" spans="1:9" ht="162" customHeight="1" x14ac:dyDescent="0.35">
      <c r="A81" s="461"/>
      <c r="B81" s="472" t="s">
        <v>270</v>
      </c>
      <c r="C81" s="272" t="s">
        <v>41</v>
      </c>
      <c r="D81" s="273" t="s">
        <v>91</v>
      </c>
      <c r="E81" s="273" t="s">
        <v>39</v>
      </c>
      <c r="F81" s="274" t="s">
        <v>271</v>
      </c>
      <c r="G81" s="42"/>
      <c r="H81" s="287">
        <f>H82</f>
        <v>110.4</v>
      </c>
      <c r="I81" s="287">
        <f>I82</f>
        <v>113.7</v>
      </c>
    </row>
    <row r="82" spans="1:9" ht="36" x14ac:dyDescent="0.35">
      <c r="A82" s="461"/>
      <c r="B82" s="285" t="s">
        <v>78</v>
      </c>
      <c r="C82" s="272" t="s">
        <v>41</v>
      </c>
      <c r="D82" s="273" t="s">
        <v>91</v>
      </c>
      <c r="E82" s="273" t="s">
        <v>39</v>
      </c>
      <c r="F82" s="274" t="s">
        <v>271</v>
      </c>
      <c r="G82" s="42" t="s">
        <v>79</v>
      </c>
      <c r="H82" s="287">
        <f>'прил10 (ведом 23-24)'!M366</f>
        <v>110.4</v>
      </c>
      <c r="I82" s="287">
        <f>'прил10 (ведом 23-24)'!N366</f>
        <v>113.7</v>
      </c>
    </row>
    <row r="83" spans="1:9" ht="96.75" customHeight="1" x14ac:dyDescent="0.35">
      <c r="A83" s="461"/>
      <c r="B83" s="285" t="s">
        <v>354</v>
      </c>
      <c r="C83" s="272" t="s">
        <v>41</v>
      </c>
      <c r="D83" s="273" t="s">
        <v>91</v>
      </c>
      <c r="E83" s="273" t="s">
        <v>39</v>
      </c>
      <c r="F83" s="274" t="s">
        <v>272</v>
      </c>
      <c r="G83" s="42"/>
      <c r="H83" s="287">
        <f>H84</f>
        <v>10086.799999999999</v>
      </c>
      <c r="I83" s="287">
        <f>I84</f>
        <v>10086.799999999999</v>
      </c>
    </row>
    <row r="84" spans="1:9" ht="45" customHeight="1" x14ac:dyDescent="0.35">
      <c r="A84" s="461"/>
      <c r="B84" s="285" t="s">
        <v>78</v>
      </c>
      <c r="C84" s="272" t="s">
        <v>41</v>
      </c>
      <c r="D84" s="273" t="s">
        <v>91</v>
      </c>
      <c r="E84" s="273" t="s">
        <v>39</v>
      </c>
      <c r="F84" s="274" t="s">
        <v>272</v>
      </c>
      <c r="G84" s="42" t="s">
        <v>79</v>
      </c>
      <c r="H84" s="287">
        <f>'прил10 (ведом 23-24)'!M368</f>
        <v>10086.799999999999</v>
      </c>
      <c r="I84" s="287">
        <f>'прил10 (ведом 23-24)'!N368</f>
        <v>10086.799999999999</v>
      </c>
    </row>
    <row r="85" spans="1:9" ht="42" customHeight="1" x14ac:dyDescent="0.35">
      <c r="A85" s="461"/>
      <c r="B85" s="472" t="s">
        <v>214</v>
      </c>
      <c r="C85" s="272" t="s">
        <v>41</v>
      </c>
      <c r="D85" s="273" t="s">
        <v>32</v>
      </c>
      <c r="E85" s="273" t="s">
        <v>45</v>
      </c>
      <c r="F85" s="274" t="s">
        <v>46</v>
      </c>
      <c r="G85" s="312"/>
      <c r="H85" s="287">
        <f>H86+H100+H105+H108+H111</f>
        <v>27113</v>
      </c>
      <c r="I85" s="287">
        <f>I86+I100+I105+I108+I111</f>
        <v>75243</v>
      </c>
    </row>
    <row r="86" spans="1:9" ht="36" x14ac:dyDescent="0.35">
      <c r="A86" s="461"/>
      <c r="B86" s="472" t="s">
        <v>284</v>
      </c>
      <c r="C86" s="272" t="s">
        <v>41</v>
      </c>
      <c r="D86" s="273" t="s">
        <v>32</v>
      </c>
      <c r="E86" s="273" t="s">
        <v>39</v>
      </c>
      <c r="F86" s="274" t="s">
        <v>46</v>
      </c>
      <c r="G86" s="312"/>
      <c r="H86" s="287">
        <f>H87+H91+H98+H96</f>
        <v>18917.5</v>
      </c>
      <c r="I86" s="287">
        <f>I87+I91+I98+I96</f>
        <v>67047.5</v>
      </c>
    </row>
    <row r="87" spans="1:9" ht="36" x14ac:dyDescent="0.35">
      <c r="A87" s="461"/>
      <c r="B87" s="472" t="s">
        <v>49</v>
      </c>
      <c r="C87" s="272" t="s">
        <v>41</v>
      </c>
      <c r="D87" s="273" t="s">
        <v>32</v>
      </c>
      <c r="E87" s="273" t="s">
        <v>39</v>
      </c>
      <c r="F87" s="274" t="s">
        <v>50</v>
      </c>
      <c r="G87" s="42"/>
      <c r="H87" s="287">
        <f>SUM(H88:H90)</f>
        <v>927.8</v>
      </c>
      <c r="I87" s="287">
        <f>SUM(I88:I90)</f>
        <v>10582.3</v>
      </c>
    </row>
    <row r="88" spans="1:9" ht="90" x14ac:dyDescent="0.35">
      <c r="A88" s="461"/>
      <c r="B88" s="472" t="s">
        <v>51</v>
      </c>
      <c r="C88" s="272" t="s">
        <v>41</v>
      </c>
      <c r="D88" s="273" t="s">
        <v>32</v>
      </c>
      <c r="E88" s="273" t="s">
        <v>39</v>
      </c>
      <c r="F88" s="274" t="s">
        <v>50</v>
      </c>
      <c r="G88" s="42" t="s">
        <v>52</v>
      </c>
      <c r="H88" s="287">
        <f>'прил10 (ведом 23-24)'!M387</f>
        <v>0</v>
      </c>
      <c r="I88" s="287">
        <f>'прил10 (ведом 23-24)'!N387</f>
        <v>9648.2999999999993</v>
      </c>
    </row>
    <row r="89" spans="1:9" ht="36" x14ac:dyDescent="0.35">
      <c r="A89" s="461"/>
      <c r="B89" s="472" t="s">
        <v>57</v>
      </c>
      <c r="C89" s="272" t="s">
        <v>41</v>
      </c>
      <c r="D89" s="273" t="s">
        <v>32</v>
      </c>
      <c r="E89" s="273" t="s">
        <v>39</v>
      </c>
      <c r="F89" s="274" t="s">
        <v>50</v>
      </c>
      <c r="G89" s="42" t="s">
        <v>58</v>
      </c>
      <c r="H89" s="287">
        <f>'прил10 (ведом 23-24)'!M388</f>
        <v>910.9</v>
      </c>
      <c r="I89" s="287">
        <f>'прил10 (ведом 23-24)'!N388</f>
        <v>917.2</v>
      </c>
    </row>
    <row r="90" spans="1:9" ht="18" x14ac:dyDescent="0.35">
      <c r="A90" s="461"/>
      <c r="B90" s="472" t="s">
        <v>59</v>
      </c>
      <c r="C90" s="272" t="s">
        <v>41</v>
      </c>
      <c r="D90" s="273" t="s">
        <v>32</v>
      </c>
      <c r="E90" s="273" t="s">
        <v>39</v>
      </c>
      <c r="F90" s="274" t="s">
        <v>50</v>
      </c>
      <c r="G90" s="42" t="s">
        <v>60</v>
      </c>
      <c r="H90" s="287">
        <f>'прил10 (ведом 23-24)'!M389</f>
        <v>16.899999999999999</v>
      </c>
      <c r="I90" s="287">
        <f>'прил10 (ведом 23-24)'!N389</f>
        <v>16.8</v>
      </c>
    </row>
    <row r="91" spans="1:9" ht="36" x14ac:dyDescent="0.35">
      <c r="A91" s="461"/>
      <c r="B91" s="472" t="s">
        <v>540</v>
      </c>
      <c r="C91" s="272" t="s">
        <v>41</v>
      </c>
      <c r="D91" s="273" t="s">
        <v>32</v>
      </c>
      <c r="E91" s="273" t="s">
        <v>39</v>
      </c>
      <c r="F91" s="274" t="s">
        <v>93</v>
      </c>
      <c r="G91" s="42"/>
      <c r="H91" s="287">
        <f>SUM(H92:H95)</f>
        <v>9505</v>
      </c>
      <c r="I91" s="287">
        <f>SUM(I92:I95)</f>
        <v>47980.5</v>
      </c>
    </row>
    <row r="92" spans="1:9" ht="90" x14ac:dyDescent="0.35">
      <c r="A92" s="461"/>
      <c r="B92" s="472" t="s">
        <v>51</v>
      </c>
      <c r="C92" s="272" t="s">
        <v>41</v>
      </c>
      <c r="D92" s="273" t="s">
        <v>32</v>
      </c>
      <c r="E92" s="273" t="s">
        <v>39</v>
      </c>
      <c r="F92" s="274" t="s">
        <v>93</v>
      </c>
      <c r="G92" s="42" t="s">
        <v>52</v>
      </c>
      <c r="H92" s="287">
        <f>'прил10 (ведом 23-24)'!M391</f>
        <v>0</v>
      </c>
      <c r="I92" s="287">
        <f>'прил10 (ведом 23-24)'!N391</f>
        <v>28006.9</v>
      </c>
    </row>
    <row r="93" spans="1:9" ht="36" x14ac:dyDescent="0.35">
      <c r="A93" s="461"/>
      <c r="B93" s="472" t="s">
        <v>57</v>
      </c>
      <c r="C93" s="272" t="s">
        <v>41</v>
      </c>
      <c r="D93" s="273" t="s">
        <v>32</v>
      </c>
      <c r="E93" s="273" t="s">
        <v>39</v>
      </c>
      <c r="F93" s="274" t="s">
        <v>93</v>
      </c>
      <c r="G93" s="42" t="s">
        <v>58</v>
      </c>
      <c r="H93" s="287">
        <f>'прил10 (ведом 23-24)'!M392</f>
        <v>2651.3</v>
      </c>
      <c r="I93" s="287">
        <f>'прил10 (ведом 23-24)'!N392</f>
        <v>3071.4</v>
      </c>
    </row>
    <row r="94" spans="1:9" ht="45.75" customHeight="1" x14ac:dyDescent="0.35">
      <c r="A94" s="461"/>
      <c r="B94" s="285" t="s">
        <v>78</v>
      </c>
      <c r="C94" s="272" t="s">
        <v>41</v>
      </c>
      <c r="D94" s="273" t="s">
        <v>32</v>
      </c>
      <c r="E94" s="273" t="s">
        <v>39</v>
      </c>
      <c r="F94" s="274" t="s">
        <v>93</v>
      </c>
      <c r="G94" s="42" t="s">
        <v>79</v>
      </c>
      <c r="H94" s="287">
        <f>'прил10 (ведом 23-24)'!M393</f>
        <v>6847.9000000000015</v>
      </c>
      <c r="I94" s="287">
        <f>'прил10 (ведом 23-24)'!N393</f>
        <v>16896.7</v>
      </c>
    </row>
    <row r="95" spans="1:9" ht="18" x14ac:dyDescent="0.35">
      <c r="A95" s="461"/>
      <c r="B95" s="285" t="s">
        <v>59</v>
      </c>
      <c r="C95" s="272" t="s">
        <v>41</v>
      </c>
      <c r="D95" s="273" t="s">
        <v>32</v>
      </c>
      <c r="E95" s="273" t="s">
        <v>39</v>
      </c>
      <c r="F95" s="274" t="s">
        <v>93</v>
      </c>
      <c r="G95" s="42" t="s">
        <v>60</v>
      </c>
      <c r="H95" s="287">
        <f>'прил10 (ведом 23-24)'!M394</f>
        <v>5.8</v>
      </c>
      <c r="I95" s="287">
        <f>'прил10 (ведом 23-24)'!N394</f>
        <v>5.5</v>
      </c>
    </row>
    <row r="96" spans="1:9" ht="97.5" customHeight="1" x14ac:dyDescent="0.35">
      <c r="A96" s="461"/>
      <c r="B96" s="285" t="s">
        <v>354</v>
      </c>
      <c r="C96" s="272" t="s">
        <v>41</v>
      </c>
      <c r="D96" s="273" t="s">
        <v>32</v>
      </c>
      <c r="E96" s="273" t="s">
        <v>39</v>
      </c>
      <c r="F96" s="274" t="s">
        <v>272</v>
      </c>
      <c r="G96" s="42"/>
      <c r="H96" s="287">
        <f>SUM(H97:H97)</f>
        <v>6189.9</v>
      </c>
      <c r="I96" s="287">
        <f>SUM(I97:I97)</f>
        <v>6189.9</v>
      </c>
    </row>
    <row r="97" spans="1:9" ht="90" x14ac:dyDescent="0.35">
      <c r="A97" s="461"/>
      <c r="B97" s="285" t="s">
        <v>51</v>
      </c>
      <c r="C97" s="272" t="s">
        <v>41</v>
      </c>
      <c r="D97" s="273" t="s">
        <v>32</v>
      </c>
      <c r="E97" s="273" t="s">
        <v>39</v>
      </c>
      <c r="F97" s="274" t="s">
        <v>272</v>
      </c>
      <c r="G97" s="42" t="s">
        <v>52</v>
      </c>
      <c r="H97" s="287">
        <f>'прил10 (ведом 23-24)'!M396</f>
        <v>6189.9</v>
      </c>
      <c r="I97" s="287">
        <f>'прил10 (ведом 23-24)'!N396</f>
        <v>6189.9</v>
      </c>
    </row>
    <row r="98" spans="1:9" ht="214.5" customHeight="1" x14ac:dyDescent="0.35">
      <c r="A98" s="461"/>
      <c r="B98" s="285" t="s">
        <v>502</v>
      </c>
      <c r="C98" s="272" t="s">
        <v>41</v>
      </c>
      <c r="D98" s="273" t="s">
        <v>32</v>
      </c>
      <c r="E98" s="273" t="s">
        <v>39</v>
      </c>
      <c r="F98" s="274" t="s">
        <v>355</v>
      </c>
      <c r="G98" s="42"/>
      <c r="H98" s="287">
        <f>SUM(H99:H99)</f>
        <v>2294.8000000000002</v>
      </c>
      <c r="I98" s="287">
        <f>SUM(I99:I99)</f>
        <v>2294.8000000000002</v>
      </c>
    </row>
    <row r="99" spans="1:9" ht="45" customHeight="1" x14ac:dyDescent="0.35">
      <c r="A99" s="461"/>
      <c r="B99" s="285" t="s">
        <v>78</v>
      </c>
      <c r="C99" s="272" t="s">
        <v>41</v>
      </c>
      <c r="D99" s="273" t="s">
        <v>32</v>
      </c>
      <c r="E99" s="273" t="s">
        <v>39</v>
      </c>
      <c r="F99" s="274" t="s">
        <v>355</v>
      </c>
      <c r="G99" s="42" t="s">
        <v>79</v>
      </c>
      <c r="H99" s="287">
        <f>'прил10 (ведом 23-24)'!M352</f>
        <v>2294.8000000000002</v>
      </c>
      <c r="I99" s="287">
        <f>'прил10 (ведом 23-24)'!N352</f>
        <v>2294.8000000000002</v>
      </c>
    </row>
    <row r="100" spans="1:9" ht="45" customHeight="1" x14ac:dyDescent="0.35">
      <c r="A100" s="461"/>
      <c r="B100" s="285" t="s">
        <v>283</v>
      </c>
      <c r="C100" s="272" t="s">
        <v>41</v>
      </c>
      <c r="D100" s="273" t="s">
        <v>32</v>
      </c>
      <c r="E100" s="273" t="s">
        <v>41</v>
      </c>
      <c r="F100" s="274" t="s">
        <v>46</v>
      </c>
      <c r="G100" s="42"/>
      <c r="H100" s="287">
        <f>H101+H103</f>
        <v>7938.2999999999993</v>
      </c>
      <c r="I100" s="287">
        <f>I101+I103</f>
        <v>7938.2999999999993</v>
      </c>
    </row>
    <row r="101" spans="1:9" ht="45" customHeight="1" x14ac:dyDescent="0.35">
      <c r="A101" s="461"/>
      <c r="B101" s="285" t="s">
        <v>553</v>
      </c>
      <c r="C101" s="272" t="s">
        <v>41</v>
      </c>
      <c r="D101" s="273" t="s">
        <v>32</v>
      </c>
      <c r="E101" s="273" t="s">
        <v>41</v>
      </c>
      <c r="F101" s="274" t="s">
        <v>552</v>
      </c>
      <c r="G101" s="42"/>
      <c r="H101" s="287">
        <f>H102</f>
        <v>1188.3999999999999</v>
      </c>
      <c r="I101" s="287">
        <f>I102</f>
        <v>1188.3999999999999</v>
      </c>
    </row>
    <row r="102" spans="1:9" ht="45" customHeight="1" x14ac:dyDescent="0.35">
      <c r="A102" s="461"/>
      <c r="B102" s="285" t="s">
        <v>78</v>
      </c>
      <c r="C102" s="272" t="s">
        <v>41</v>
      </c>
      <c r="D102" s="273" t="s">
        <v>32</v>
      </c>
      <c r="E102" s="273" t="s">
        <v>41</v>
      </c>
      <c r="F102" s="274" t="s">
        <v>552</v>
      </c>
      <c r="G102" s="42" t="s">
        <v>79</v>
      </c>
      <c r="H102" s="287">
        <f>'прил10 (ведом 23-24)'!M379</f>
        <v>1188.3999999999999</v>
      </c>
      <c r="I102" s="287">
        <f>'прил10 (ведом 23-24)'!N379</f>
        <v>1188.3999999999999</v>
      </c>
    </row>
    <row r="103" spans="1:9" ht="109.5" customHeight="1" x14ac:dyDescent="0.35">
      <c r="A103" s="461"/>
      <c r="B103" s="285" t="s">
        <v>508</v>
      </c>
      <c r="C103" s="272" t="s">
        <v>41</v>
      </c>
      <c r="D103" s="273" t="s">
        <v>32</v>
      </c>
      <c r="E103" s="273" t="s">
        <v>41</v>
      </c>
      <c r="F103" s="274" t="s">
        <v>507</v>
      </c>
      <c r="G103" s="42"/>
      <c r="H103" s="287">
        <f>H104</f>
        <v>6749.9</v>
      </c>
      <c r="I103" s="287">
        <f>I104</f>
        <v>6749.9</v>
      </c>
    </row>
    <row r="104" spans="1:9" ht="39" customHeight="1" x14ac:dyDescent="0.35">
      <c r="A104" s="461"/>
      <c r="B104" s="285" t="s">
        <v>78</v>
      </c>
      <c r="C104" s="272" t="s">
        <v>41</v>
      </c>
      <c r="D104" s="273" t="s">
        <v>32</v>
      </c>
      <c r="E104" s="273" t="s">
        <v>41</v>
      </c>
      <c r="F104" s="274" t="s">
        <v>507</v>
      </c>
      <c r="G104" s="42" t="s">
        <v>79</v>
      </c>
      <c r="H104" s="287">
        <f>'прил10 (ведом 23-24)'!M381</f>
        <v>6749.9</v>
      </c>
      <c r="I104" s="287">
        <f>'прил10 (ведом 23-24)'!N381</f>
        <v>6749.9</v>
      </c>
    </row>
    <row r="105" spans="1:9" ht="36" customHeight="1" x14ac:dyDescent="0.35">
      <c r="A105" s="461"/>
      <c r="B105" s="311" t="s">
        <v>360</v>
      </c>
      <c r="C105" s="634" t="s">
        <v>41</v>
      </c>
      <c r="D105" s="635" t="s">
        <v>32</v>
      </c>
      <c r="E105" s="635" t="s">
        <v>65</v>
      </c>
      <c r="F105" s="636" t="s">
        <v>46</v>
      </c>
      <c r="G105" s="312"/>
      <c r="H105" s="287">
        <f>H106</f>
        <v>127.4</v>
      </c>
      <c r="I105" s="287">
        <f>I106</f>
        <v>127.4</v>
      </c>
    </row>
    <row r="106" spans="1:9" ht="51.75" customHeight="1" x14ac:dyDescent="0.35">
      <c r="A106" s="461"/>
      <c r="B106" s="311" t="s">
        <v>555</v>
      </c>
      <c r="C106" s="634" t="s">
        <v>41</v>
      </c>
      <c r="D106" s="635" t="s">
        <v>32</v>
      </c>
      <c r="E106" s="635" t="s">
        <v>65</v>
      </c>
      <c r="F106" s="636" t="s">
        <v>107</v>
      </c>
      <c r="G106" s="312"/>
      <c r="H106" s="287">
        <f>H107</f>
        <v>127.4</v>
      </c>
      <c r="I106" s="287">
        <f>I107</f>
        <v>127.4</v>
      </c>
    </row>
    <row r="107" spans="1:9" ht="36" x14ac:dyDescent="0.35">
      <c r="A107" s="461"/>
      <c r="B107" s="311" t="s">
        <v>57</v>
      </c>
      <c r="C107" s="634" t="s">
        <v>41</v>
      </c>
      <c r="D107" s="635" t="s">
        <v>32</v>
      </c>
      <c r="E107" s="635" t="s">
        <v>65</v>
      </c>
      <c r="F107" s="636" t="s">
        <v>107</v>
      </c>
      <c r="G107" s="312" t="s">
        <v>58</v>
      </c>
      <c r="H107" s="287">
        <f>'прил10 (ведом 23-24)'!M278</f>
        <v>127.4</v>
      </c>
      <c r="I107" s="287">
        <f>'прил10 (ведом 23-24)'!N278</f>
        <v>127.4</v>
      </c>
    </row>
    <row r="108" spans="1:9" ht="34.5" customHeight="1" x14ac:dyDescent="0.35">
      <c r="A108" s="461"/>
      <c r="B108" s="311" t="s">
        <v>544</v>
      </c>
      <c r="C108" s="634" t="s">
        <v>41</v>
      </c>
      <c r="D108" s="635" t="s">
        <v>32</v>
      </c>
      <c r="E108" s="635" t="s">
        <v>54</v>
      </c>
      <c r="F108" s="636" t="s">
        <v>46</v>
      </c>
      <c r="G108" s="312"/>
      <c r="H108" s="287">
        <f>H109</f>
        <v>24</v>
      </c>
      <c r="I108" s="287">
        <f>I109</f>
        <v>24</v>
      </c>
    </row>
    <row r="109" spans="1:9" ht="24" customHeight="1" x14ac:dyDescent="0.35">
      <c r="A109" s="461"/>
      <c r="B109" s="311" t="s">
        <v>556</v>
      </c>
      <c r="C109" s="634" t="s">
        <v>41</v>
      </c>
      <c r="D109" s="635" t="s">
        <v>32</v>
      </c>
      <c r="E109" s="635" t="s">
        <v>54</v>
      </c>
      <c r="F109" s="636" t="s">
        <v>543</v>
      </c>
      <c r="G109" s="312"/>
      <c r="H109" s="287">
        <f>H110</f>
        <v>24</v>
      </c>
      <c r="I109" s="287">
        <f>I110</f>
        <v>24</v>
      </c>
    </row>
    <row r="110" spans="1:9" ht="33.75" customHeight="1" x14ac:dyDescent="0.35">
      <c r="A110" s="461"/>
      <c r="B110" s="311" t="s">
        <v>57</v>
      </c>
      <c r="C110" s="634" t="s">
        <v>41</v>
      </c>
      <c r="D110" s="635" t="s">
        <v>32</v>
      </c>
      <c r="E110" s="635" t="s">
        <v>54</v>
      </c>
      <c r="F110" s="636" t="s">
        <v>543</v>
      </c>
      <c r="G110" s="312" t="s">
        <v>58</v>
      </c>
      <c r="H110" s="287">
        <f>'прил10 (ведом 23-24)'!M281</f>
        <v>24</v>
      </c>
      <c r="I110" s="287">
        <f>'прил10 (ведом 23-24)'!N281</f>
        <v>24</v>
      </c>
    </row>
    <row r="111" spans="1:9" ht="33.6" customHeight="1" x14ac:dyDescent="0.35">
      <c r="A111" s="461"/>
      <c r="B111" s="311" t="s">
        <v>554</v>
      </c>
      <c r="C111" s="634" t="s">
        <v>41</v>
      </c>
      <c r="D111" s="635" t="s">
        <v>32</v>
      </c>
      <c r="E111" s="635" t="s">
        <v>67</v>
      </c>
      <c r="F111" s="636" t="s">
        <v>46</v>
      </c>
      <c r="G111" s="312"/>
      <c r="H111" s="287">
        <f>H112</f>
        <v>105.8</v>
      </c>
      <c r="I111" s="287">
        <f>I112</f>
        <v>105.8</v>
      </c>
    </row>
    <row r="112" spans="1:9" ht="36.75" customHeight="1" x14ac:dyDescent="0.35">
      <c r="A112" s="461"/>
      <c r="B112" s="311" t="s">
        <v>129</v>
      </c>
      <c r="C112" s="634" t="s">
        <v>41</v>
      </c>
      <c r="D112" s="635" t="s">
        <v>32</v>
      </c>
      <c r="E112" s="635" t="s">
        <v>67</v>
      </c>
      <c r="F112" s="636" t="s">
        <v>92</v>
      </c>
      <c r="G112" s="312"/>
      <c r="H112" s="287">
        <f>H113</f>
        <v>105.8</v>
      </c>
      <c r="I112" s="287">
        <f>I113</f>
        <v>105.8</v>
      </c>
    </row>
    <row r="113" spans="1:9" ht="34.5" customHeight="1" x14ac:dyDescent="0.35">
      <c r="A113" s="461"/>
      <c r="B113" s="311" t="s">
        <v>57</v>
      </c>
      <c r="C113" s="634" t="s">
        <v>41</v>
      </c>
      <c r="D113" s="635" t="s">
        <v>32</v>
      </c>
      <c r="E113" s="635" t="s">
        <v>67</v>
      </c>
      <c r="F113" s="636" t="s">
        <v>92</v>
      </c>
      <c r="G113" s="312" t="s">
        <v>58</v>
      </c>
      <c r="H113" s="287">
        <f>'прил10 (ведом 23-24)'!M284</f>
        <v>105.8</v>
      </c>
      <c r="I113" s="287">
        <f>'прил10 (ведом 23-24)'!N284</f>
        <v>105.8</v>
      </c>
    </row>
    <row r="114" spans="1:9" ht="18" x14ac:dyDescent="0.35">
      <c r="A114" s="461"/>
      <c r="B114" s="480"/>
      <c r="C114" s="634"/>
      <c r="D114" s="635"/>
      <c r="E114" s="635"/>
      <c r="F114" s="636"/>
      <c r="G114" s="312"/>
      <c r="H114" s="287"/>
      <c r="I114" s="287"/>
    </row>
    <row r="115" spans="1:9" s="471" customFormat="1" ht="52.2" x14ac:dyDescent="0.3">
      <c r="A115" s="481">
        <v>2</v>
      </c>
      <c r="B115" s="392" t="s">
        <v>215</v>
      </c>
      <c r="C115" s="482" t="s">
        <v>65</v>
      </c>
      <c r="D115" s="482" t="s">
        <v>44</v>
      </c>
      <c r="E115" s="482" t="s">
        <v>45</v>
      </c>
      <c r="F115" s="483" t="s">
        <v>46</v>
      </c>
      <c r="G115" s="470"/>
      <c r="H115" s="337">
        <f>H116+H145+H138</f>
        <v>93411</v>
      </c>
      <c r="I115" s="337">
        <f>I116+I145+I138</f>
        <v>102079.3</v>
      </c>
    </row>
    <row r="116" spans="1:9" s="471" customFormat="1" ht="54" x14ac:dyDescent="0.35">
      <c r="A116" s="461"/>
      <c r="B116" s="484" t="s">
        <v>216</v>
      </c>
      <c r="C116" s="272" t="s">
        <v>65</v>
      </c>
      <c r="D116" s="273" t="s">
        <v>47</v>
      </c>
      <c r="E116" s="273" t="s">
        <v>45</v>
      </c>
      <c r="F116" s="274" t="s">
        <v>46</v>
      </c>
      <c r="G116" s="312"/>
      <c r="H116" s="287">
        <f>H117+H122+H125+H128+H135</f>
        <v>83755.100000000006</v>
      </c>
      <c r="I116" s="287">
        <f>I117+I122+I125+I128+I135</f>
        <v>91766.5</v>
      </c>
    </row>
    <row r="117" spans="1:9" s="471" customFormat="1" ht="36" x14ac:dyDescent="0.35">
      <c r="A117" s="461"/>
      <c r="B117" s="484" t="s">
        <v>278</v>
      </c>
      <c r="C117" s="272" t="s">
        <v>65</v>
      </c>
      <c r="D117" s="273" t="s">
        <v>47</v>
      </c>
      <c r="E117" s="273" t="s">
        <v>39</v>
      </c>
      <c r="F117" s="274" t="s">
        <v>46</v>
      </c>
      <c r="G117" s="312"/>
      <c r="H117" s="287">
        <f>H118+H120</f>
        <v>58973.3</v>
      </c>
      <c r="I117" s="287">
        <f>I118+I120</f>
        <v>64613.9</v>
      </c>
    </row>
    <row r="118" spans="1:9" s="471" customFormat="1" ht="36" x14ac:dyDescent="0.35">
      <c r="A118" s="461"/>
      <c r="B118" s="472" t="s">
        <v>540</v>
      </c>
      <c r="C118" s="272" t="s">
        <v>65</v>
      </c>
      <c r="D118" s="273" t="s">
        <v>47</v>
      </c>
      <c r="E118" s="273" t="s">
        <v>39</v>
      </c>
      <c r="F118" s="274" t="s">
        <v>93</v>
      </c>
      <c r="G118" s="42"/>
      <c r="H118" s="287">
        <f>H119</f>
        <v>56990</v>
      </c>
      <c r="I118" s="287">
        <f>I119</f>
        <v>62630.6</v>
      </c>
    </row>
    <row r="119" spans="1:9" s="471" customFormat="1" ht="42.75" customHeight="1" x14ac:dyDescent="0.35">
      <c r="A119" s="461"/>
      <c r="B119" s="478" t="s">
        <v>78</v>
      </c>
      <c r="C119" s="272" t="s">
        <v>65</v>
      </c>
      <c r="D119" s="273" t="s">
        <v>47</v>
      </c>
      <c r="E119" s="273" t="s">
        <v>39</v>
      </c>
      <c r="F119" s="274" t="s">
        <v>93</v>
      </c>
      <c r="G119" s="42" t="s">
        <v>79</v>
      </c>
      <c r="H119" s="287">
        <f>'прил10 (ведом 23-24)'!M420</f>
        <v>56990</v>
      </c>
      <c r="I119" s="287">
        <f>'прил10 (ведом 23-24)'!N420</f>
        <v>62630.6</v>
      </c>
    </row>
    <row r="120" spans="1:9" s="471" customFormat="1" ht="42.75" customHeight="1" x14ac:dyDescent="0.35">
      <c r="A120" s="461"/>
      <c r="B120" s="485" t="s">
        <v>319</v>
      </c>
      <c r="C120" s="272" t="s">
        <v>65</v>
      </c>
      <c r="D120" s="273" t="s">
        <v>47</v>
      </c>
      <c r="E120" s="273" t="s">
        <v>39</v>
      </c>
      <c r="F120" s="274" t="s">
        <v>320</v>
      </c>
      <c r="G120" s="42"/>
      <c r="H120" s="287">
        <f>'прил10 (ведом 23-24)'!M421</f>
        <v>1983.3</v>
      </c>
      <c r="I120" s="287">
        <f>'прил10 (ведом 23-24)'!N421</f>
        <v>1983.3</v>
      </c>
    </row>
    <row r="121" spans="1:9" s="471" customFormat="1" ht="42.75" customHeight="1" x14ac:dyDescent="0.35">
      <c r="A121" s="461"/>
      <c r="B121" s="485" t="s">
        <v>78</v>
      </c>
      <c r="C121" s="272" t="s">
        <v>65</v>
      </c>
      <c r="D121" s="273" t="s">
        <v>47</v>
      </c>
      <c r="E121" s="273" t="s">
        <v>39</v>
      </c>
      <c r="F121" s="274" t="s">
        <v>320</v>
      </c>
      <c r="G121" s="42" t="s">
        <v>79</v>
      </c>
      <c r="H121" s="287">
        <f>'прил10 (ведом 23-24)'!M422</f>
        <v>1983.3</v>
      </c>
      <c r="I121" s="287">
        <f>'прил10 (ведом 23-24)'!N422</f>
        <v>1983.3</v>
      </c>
    </row>
    <row r="122" spans="1:9" s="471" customFormat="1" ht="18" x14ac:dyDescent="0.35">
      <c r="A122" s="461"/>
      <c r="B122" s="485" t="s">
        <v>279</v>
      </c>
      <c r="C122" s="272" t="s">
        <v>65</v>
      </c>
      <c r="D122" s="273" t="s">
        <v>47</v>
      </c>
      <c r="E122" s="273" t="s">
        <v>41</v>
      </c>
      <c r="F122" s="274" t="s">
        <v>46</v>
      </c>
      <c r="G122" s="42"/>
      <c r="H122" s="287">
        <f>H123</f>
        <v>225</v>
      </c>
      <c r="I122" s="287">
        <f>I123</f>
        <v>225</v>
      </c>
    </row>
    <row r="123" spans="1:9" s="471" customFormat="1" ht="42.75" customHeight="1" x14ac:dyDescent="0.35">
      <c r="A123" s="461"/>
      <c r="B123" s="485" t="s">
        <v>213</v>
      </c>
      <c r="C123" s="272" t="s">
        <v>65</v>
      </c>
      <c r="D123" s="273" t="s">
        <v>47</v>
      </c>
      <c r="E123" s="273" t="s">
        <v>41</v>
      </c>
      <c r="F123" s="274" t="s">
        <v>281</v>
      </c>
      <c r="G123" s="42"/>
      <c r="H123" s="287">
        <f>H124</f>
        <v>225</v>
      </c>
      <c r="I123" s="287">
        <f>I124</f>
        <v>225</v>
      </c>
    </row>
    <row r="124" spans="1:9" s="471" customFormat="1" ht="18" x14ac:dyDescent="0.35">
      <c r="A124" s="461"/>
      <c r="B124" s="485" t="s">
        <v>122</v>
      </c>
      <c r="C124" s="272" t="s">
        <v>65</v>
      </c>
      <c r="D124" s="273" t="s">
        <v>47</v>
      </c>
      <c r="E124" s="273" t="s">
        <v>41</v>
      </c>
      <c r="F124" s="274" t="s">
        <v>281</v>
      </c>
      <c r="G124" s="42" t="s">
        <v>123</v>
      </c>
      <c r="H124" s="287">
        <f>'прил10 (ведом 23-24)'!M434</f>
        <v>225</v>
      </c>
      <c r="I124" s="287">
        <f>'прил10 (ведом 23-24)'!N434</f>
        <v>225</v>
      </c>
    </row>
    <row r="125" spans="1:9" s="471" customFormat="1" ht="18" x14ac:dyDescent="0.35">
      <c r="A125" s="461"/>
      <c r="B125" s="472" t="s">
        <v>321</v>
      </c>
      <c r="C125" s="486" t="s">
        <v>65</v>
      </c>
      <c r="D125" s="487" t="s">
        <v>47</v>
      </c>
      <c r="E125" s="487" t="s">
        <v>65</v>
      </c>
      <c r="F125" s="488" t="s">
        <v>46</v>
      </c>
      <c r="G125" s="489"/>
      <c r="H125" s="287">
        <f>H126</f>
        <v>11243.5</v>
      </c>
      <c r="I125" s="287">
        <f>I126</f>
        <v>12367.9</v>
      </c>
    </row>
    <row r="126" spans="1:9" s="471" customFormat="1" ht="36" x14ac:dyDescent="0.35">
      <c r="A126" s="461"/>
      <c r="B126" s="472" t="s">
        <v>540</v>
      </c>
      <c r="C126" s="486" t="s">
        <v>65</v>
      </c>
      <c r="D126" s="487" t="s">
        <v>47</v>
      </c>
      <c r="E126" s="487" t="s">
        <v>65</v>
      </c>
      <c r="F126" s="488" t="s">
        <v>93</v>
      </c>
      <c r="G126" s="489"/>
      <c r="H126" s="287">
        <f>H127</f>
        <v>11243.5</v>
      </c>
      <c r="I126" s="287">
        <f>I127</f>
        <v>12367.9</v>
      </c>
    </row>
    <row r="127" spans="1:9" s="471" customFormat="1" ht="45" customHeight="1" x14ac:dyDescent="0.35">
      <c r="A127" s="461"/>
      <c r="B127" s="478" t="s">
        <v>78</v>
      </c>
      <c r="C127" s="272" t="s">
        <v>65</v>
      </c>
      <c r="D127" s="273" t="s">
        <v>47</v>
      </c>
      <c r="E127" s="273" t="s">
        <v>65</v>
      </c>
      <c r="F127" s="274" t="s">
        <v>93</v>
      </c>
      <c r="G127" s="42" t="s">
        <v>79</v>
      </c>
      <c r="H127" s="287">
        <f>'прил10 (ведом 23-24)'!M441</f>
        <v>11243.5</v>
      </c>
      <c r="I127" s="287">
        <f>'прил10 (ведом 23-24)'!N441</f>
        <v>12367.9</v>
      </c>
    </row>
    <row r="128" spans="1:9" s="471" customFormat="1" ht="36" x14ac:dyDescent="0.35">
      <c r="A128" s="461"/>
      <c r="B128" s="478" t="s">
        <v>323</v>
      </c>
      <c r="C128" s="486" t="s">
        <v>65</v>
      </c>
      <c r="D128" s="487" t="s">
        <v>47</v>
      </c>
      <c r="E128" s="487" t="s">
        <v>54</v>
      </c>
      <c r="F128" s="274" t="s">
        <v>46</v>
      </c>
      <c r="G128" s="42"/>
      <c r="H128" s="287">
        <f>H129+H133</f>
        <v>13024.300000000001</v>
      </c>
      <c r="I128" s="287">
        <f>I129+I133</f>
        <v>14270.7</v>
      </c>
    </row>
    <row r="129" spans="1:9" s="471" customFormat="1" ht="36" x14ac:dyDescent="0.35">
      <c r="A129" s="461"/>
      <c r="B129" s="472" t="s">
        <v>540</v>
      </c>
      <c r="C129" s="486" t="s">
        <v>65</v>
      </c>
      <c r="D129" s="487" t="s">
        <v>47</v>
      </c>
      <c r="E129" s="487" t="s">
        <v>54</v>
      </c>
      <c r="F129" s="488" t="s">
        <v>93</v>
      </c>
      <c r="G129" s="489"/>
      <c r="H129" s="287">
        <f>SUM(H130:H132)</f>
        <v>11046.500000000002</v>
      </c>
      <c r="I129" s="287">
        <f>SUM(I130:I132)</f>
        <v>14270.7</v>
      </c>
    </row>
    <row r="130" spans="1:9" s="471" customFormat="1" ht="90" x14ac:dyDescent="0.35">
      <c r="A130" s="461"/>
      <c r="B130" s="285" t="s">
        <v>51</v>
      </c>
      <c r="C130" s="272" t="s">
        <v>65</v>
      </c>
      <c r="D130" s="273" t="s">
        <v>47</v>
      </c>
      <c r="E130" s="273" t="s">
        <v>54</v>
      </c>
      <c r="F130" s="274" t="s">
        <v>93</v>
      </c>
      <c r="G130" s="42" t="s">
        <v>52</v>
      </c>
      <c r="H130" s="287">
        <f>'прил10 (ведом 23-24)'!M444</f>
        <v>9917.8000000000011</v>
      </c>
      <c r="I130" s="287">
        <f>'прил10 (ведом 23-24)'!N444</f>
        <v>11895.6</v>
      </c>
    </row>
    <row r="131" spans="1:9" s="471" customFormat="1" ht="36" x14ac:dyDescent="0.35">
      <c r="A131" s="461"/>
      <c r="B131" s="285" t="s">
        <v>57</v>
      </c>
      <c r="C131" s="272" t="s">
        <v>65</v>
      </c>
      <c r="D131" s="273" t="s">
        <v>47</v>
      </c>
      <c r="E131" s="273" t="s">
        <v>54</v>
      </c>
      <c r="F131" s="274" t="s">
        <v>93</v>
      </c>
      <c r="G131" s="42" t="s">
        <v>58</v>
      </c>
      <c r="H131" s="287">
        <f>'прил10 (ведом 23-24)'!M445</f>
        <v>1081.7</v>
      </c>
      <c r="I131" s="287">
        <f>'прил10 (ведом 23-24)'!N445</f>
        <v>2328.1</v>
      </c>
    </row>
    <row r="132" spans="1:9" s="471" customFormat="1" ht="18" x14ac:dyDescent="0.35">
      <c r="A132" s="461"/>
      <c r="B132" s="285" t="s">
        <v>59</v>
      </c>
      <c r="C132" s="272" t="s">
        <v>65</v>
      </c>
      <c r="D132" s="273" t="s">
        <v>47</v>
      </c>
      <c r="E132" s="273" t="s">
        <v>54</v>
      </c>
      <c r="F132" s="274" t="s">
        <v>93</v>
      </c>
      <c r="G132" s="42" t="s">
        <v>60</v>
      </c>
      <c r="H132" s="287">
        <f>'прил10 (ведом 23-24)'!M446</f>
        <v>47</v>
      </c>
      <c r="I132" s="287">
        <f>'прил10 (ведом 23-24)'!N446</f>
        <v>47</v>
      </c>
    </row>
    <row r="133" spans="1:9" s="471" customFormat="1" ht="18" x14ac:dyDescent="0.35">
      <c r="A133" s="461"/>
      <c r="B133" s="647" t="s">
        <v>541</v>
      </c>
      <c r="C133" s="640" t="s">
        <v>65</v>
      </c>
      <c r="D133" s="641" t="s">
        <v>47</v>
      </c>
      <c r="E133" s="641" t="s">
        <v>54</v>
      </c>
      <c r="F133" s="642" t="s">
        <v>399</v>
      </c>
      <c r="G133" s="17"/>
      <c r="H133" s="287">
        <f>H134</f>
        <v>1977.8</v>
      </c>
      <c r="I133" s="287">
        <f>I134</f>
        <v>0</v>
      </c>
    </row>
    <row r="134" spans="1:9" s="471" customFormat="1" ht="36" x14ac:dyDescent="0.35">
      <c r="A134" s="461"/>
      <c r="B134" s="647" t="s">
        <v>57</v>
      </c>
      <c r="C134" s="640" t="s">
        <v>65</v>
      </c>
      <c r="D134" s="641" t="s">
        <v>47</v>
      </c>
      <c r="E134" s="641" t="s">
        <v>54</v>
      </c>
      <c r="F134" s="642" t="s">
        <v>399</v>
      </c>
      <c r="G134" s="17" t="s">
        <v>58</v>
      </c>
      <c r="H134" s="287">
        <f>'прил10 (ведом 23-24)'!M448</f>
        <v>1977.8</v>
      </c>
      <c r="I134" s="287">
        <f>'прил10 (ведом 23-24)'!N448</f>
        <v>0</v>
      </c>
    </row>
    <row r="135" spans="1:9" s="471" customFormat="1" ht="39.75" customHeight="1" x14ac:dyDescent="0.35">
      <c r="A135" s="461"/>
      <c r="B135" s="485" t="s">
        <v>283</v>
      </c>
      <c r="C135" s="272" t="s">
        <v>65</v>
      </c>
      <c r="D135" s="273" t="s">
        <v>47</v>
      </c>
      <c r="E135" s="273" t="s">
        <v>67</v>
      </c>
      <c r="F135" s="274" t="s">
        <v>46</v>
      </c>
      <c r="G135" s="42"/>
      <c r="H135" s="287">
        <f>'прил10 (ведом 23-24)'!M426</f>
        <v>289</v>
      </c>
      <c r="I135" s="287">
        <f>'прил10 (ведом 23-24)'!N426</f>
        <v>289</v>
      </c>
    </row>
    <row r="136" spans="1:9" s="471" customFormat="1" ht="36" x14ac:dyDescent="0.35">
      <c r="A136" s="461"/>
      <c r="B136" s="485" t="s">
        <v>553</v>
      </c>
      <c r="C136" s="272" t="s">
        <v>65</v>
      </c>
      <c r="D136" s="273" t="s">
        <v>47</v>
      </c>
      <c r="E136" s="273" t="s">
        <v>67</v>
      </c>
      <c r="F136" s="274" t="s">
        <v>552</v>
      </c>
      <c r="G136" s="42"/>
      <c r="H136" s="287">
        <f>'прил10 (ведом 23-24)'!M427</f>
        <v>289</v>
      </c>
      <c r="I136" s="287">
        <f>'прил10 (ведом 23-24)'!N427</f>
        <v>289</v>
      </c>
    </row>
    <row r="137" spans="1:9" s="471" customFormat="1" ht="34.5" customHeight="1" x14ac:dyDescent="0.35">
      <c r="A137" s="461"/>
      <c r="B137" s="485" t="s">
        <v>78</v>
      </c>
      <c r="C137" s="272" t="s">
        <v>65</v>
      </c>
      <c r="D137" s="273" t="s">
        <v>47</v>
      </c>
      <c r="E137" s="273" t="s">
        <v>67</v>
      </c>
      <c r="F137" s="274" t="s">
        <v>552</v>
      </c>
      <c r="G137" s="42" t="s">
        <v>79</v>
      </c>
      <c r="H137" s="287">
        <f>'прил10 (ведом 23-24)'!M428</f>
        <v>289</v>
      </c>
      <c r="I137" s="287">
        <f>'прил10 (ведом 23-24)'!N428</f>
        <v>289</v>
      </c>
    </row>
    <row r="138" spans="1:9" s="471" customFormat="1" ht="36" x14ac:dyDescent="0.35">
      <c r="A138" s="461"/>
      <c r="B138" s="285" t="s">
        <v>332</v>
      </c>
      <c r="C138" s="486" t="s">
        <v>65</v>
      </c>
      <c r="D138" s="487" t="s">
        <v>91</v>
      </c>
      <c r="E138" s="487" t="s">
        <v>45</v>
      </c>
      <c r="F138" s="274" t="s">
        <v>46</v>
      </c>
      <c r="G138" s="42"/>
      <c r="H138" s="287">
        <f t="shared" ref="H138:I143" si="0">H139</f>
        <v>349.5</v>
      </c>
      <c r="I138" s="287">
        <f t="shared" si="0"/>
        <v>349.5</v>
      </c>
    </row>
    <row r="139" spans="1:9" s="471" customFormat="1" ht="90" x14ac:dyDescent="0.35">
      <c r="A139" s="461"/>
      <c r="B139" s="485" t="s">
        <v>324</v>
      </c>
      <c r="C139" s="486" t="s">
        <v>65</v>
      </c>
      <c r="D139" s="487" t="s">
        <v>91</v>
      </c>
      <c r="E139" s="487" t="s">
        <v>65</v>
      </c>
      <c r="F139" s="274" t="s">
        <v>46</v>
      </c>
      <c r="G139" s="42"/>
      <c r="H139" s="287">
        <f>H143+H140</f>
        <v>349.5</v>
      </c>
      <c r="I139" s="287">
        <f>I143+I140</f>
        <v>349.5</v>
      </c>
    </row>
    <row r="140" spans="1:9" s="471" customFormat="1" ht="36" x14ac:dyDescent="0.35">
      <c r="A140" s="461"/>
      <c r="B140" s="485" t="s">
        <v>319</v>
      </c>
      <c r="C140" s="486" t="s">
        <v>65</v>
      </c>
      <c r="D140" s="487" t="s">
        <v>91</v>
      </c>
      <c r="E140" s="487" t="s">
        <v>65</v>
      </c>
      <c r="F140" s="274" t="s">
        <v>320</v>
      </c>
      <c r="G140" s="42"/>
      <c r="H140" s="287">
        <f>H141+H142</f>
        <v>307.39999999999998</v>
      </c>
      <c r="I140" s="287">
        <f>I141+I142</f>
        <v>307.39999999999998</v>
      </c>
    </row>
    <row r="141" spans="1:9" s="471" customFormat="1" ht="36" x14ac:dyDescent="0.35">
      <c r="A141" s="461"/>
      <c r="B141" s="285" t="s">
        <v>57</v>
      </c>
      <c r="C141" s="486" t="s">
        <v>65</v>
      </c>
      <c r="D141" s="487" t="s">
        <v>91</v>
      </c>
      <c r="E141" s="487" t="s">
        <v>65</v>
      </c>
      <c r="F141" s="274" t="s">
        <v>320</v>
      </c>
      <c r="G141" s="42" t="s">
        <v>58</v>
      </c>
      <c r="H141" s="287">
        <f>'прил10 (ведом 23-24)'!M452</f>
        <v>289.5</v>
      </c>
      <c r="I141" s="287">
        <f>'прил10 (ведом 23-24)'!N452</f>
        <v>289.5</v>
      </c>
    </row>
    <row r="142" spans="1:9" s="471" customFormat="1" ht="38.25" customHeight="1" x14ac:dyDescent="0.35">
      <c r="A142" s="461"/>
      <c r="B142" s="485" t="s">
        <v>78</v>
      </c>
      <c r="C142" s="486" t="s">
        <v>65</v>
      </c>
      <c r="D142" s="487" t="s">
        <v>91</v>
      </c>
      <c r="E142" s="487" t="s">
        <v>65</v>
      </c>
      <c r="F142" s="274" t="s">
        <v>320</v>
      </c>
      <c r="G142" s="42" t="s">
        <v>79</v>
      </c>
      <c r="H142" s="287">
        <f>'прил10 (ведом 23-24)'!M453</f>
        <v>17.899999999999999</v>
      </c>
      <c r="I142" s="287">
        <f>'прил10 (ведом 23-24)'!N453</f>
        <v>17.899999999999999</v>
      </c>
    </row>
    <row r="143" spans="1:9" s="471" customFormat="1" ht="36" x14ac:dyDescent="0.35">
      <c r="A143" s="461"/>
      <c r="B143" s="485" t="s">
        <v>476</v>
      </c>
      <c r="C143" s="272" t="s">
        <v>65</v>
      </c>
      <c r="D143" s="273" t="s">
        <v>91</v>
      </c>
      <c r="E143" s="273" t="s">
        <v>65</v>
      </c>
      <c r="F143" s="274" t="s">
        <v>477</v>
      </c>
      <c r="G143" s="42"/>
      <c r="H143" s="287">
        <f t="shared" si="0"/>
        <v>42.1</v>
      </c>
      <c r="I143" s="287">
        <f t="shared" si="0"/>
        <v>42.1</v>
      </c>
    </row>
    <row r="144" spans="1:9" s="471" customFormat="1" ht="42" customHeight="1" x14ac:dyDescent="0.35">
      <c r="A144" s="461"/>
      <c r="B144" s="485" t="s">
        <v>78</v>
      </c>
      <c r="C144" s="272" t="s">
        <v>65</v>
      </c>
      <c r="D144" s="273" t="s">
        <v>91</v>
      </c>
      <c r="E144" s="273" t="s">
        <v>65</v>
      </c>
      <c r="F144" s="274" t="s">
        <v>477</v>
      </c>
      <c r="G144" s="42" t="s">
        <v>79</v>
      </c>
      <c r="H144" s="287">
        <f>'прил10 (ведом 23-24)'!M455</f>
        <v>42.1</v>
      </c>
      <c r="I144" s="287">
        <f>'прил10 (ведом 23-24)'!N455</f>
        <v>42.1</v>
      </c>
    </row>
    <row r="145" spans="1:9" s="471" customFormat="1" ht="39" customHeight="1" x14ac:dyDescent="0.35">
      <c r="A145" s="461"/>
      <c r="B145" s="472" t="s">
        <v>218</v>
      </c>
      <c r="C145" s="272" t="s">
        <v>65</v>
      </c>
      <c r="D145" s="273" t="s">
        <v>32</v>
      </c>
      <c r="E145" s="273" t="s">
        <v>45</v>
      </c>
      <c r="F145" s="274" t="s">
        <v>46</v>
      </c>
      <c r="G145" s="312"/>
      <c r="H145" s="287">
        <f>H146+H155</f>
        <v>9306.4</v>
      </c>
      <c r="I145" s="287">
        <f>I146+I155</f>
        <v>9963.2999999999993</v>
      </c>
    </row>
    <row r="146" spans="1:9" s="471" customFormat="1" ht="36" x14ac:dyDescent="0.35">
      <c r="A146" s="461"/>
      <c r="B146" s="472" t="s">
        <v>284</v>
      </c>
      <c r="C146" s="272" t="s">
        <v>65</v>
      </c>
      <c r="D146" s="273" t="s">
        <v>32</v>
      </c>
      <c r="E146" s="273" t="s">
        <v>39</v>
      </c>
      <c r="F146" s="274" t="s">
        <v>46</v>
      </c>
      <c r="G146" s="42"/>
      <c r="H146" s="287">
        <f>H147+H151</f>
        <v>9253.1</v>
      </c>
      <c r="I146" s="287">
        <f>I147+I151</f>
        <v>9910</v>
      </c>
    </row>
    <row r="147" spans="1:9" ht="36" x14ac:dyDescent="0.35">
      <c r="A147" s="461"/>
      <c r="B147" s="472" t="s">
        <v>49</v>
      </c>
      <c r="C147" s="272" t="s">
        <v>65</v>
      </c>
      <c r="D147" s="273" t="s">
        <v>32</v>
      </c>
      <c r="E147" s="273" t="s">
        <v>39</v>
      </c>
      <c r="F147" s="274" t="s">
        <v>50</v>
      </c>
      <c r="G147" s="489"/>
      <c r="H147" s="287">
        <f>SUM(H148:H150)</f>
        <v>2982.2000000000003</v>
      </c>
      <c r="I147" s="287">
        <f>SUM(I148:I150)</f>
        <v>2983.1</v>
      </c>
    </row>
    <row r="148" spans="1:9" ht="90" x14ac:dyDescent="0.35">
      <c r="A148" s="461"/>
      <c r="B148" s="472" t="s">
        <v>51</v>
      </c>
      <c r="C148" s="272" t="s">
        <v>65</v>
      </c>
      <c r="D148" s="273" t="s">
        <v>32</v>
      </c>
      <c r="E148" s="273" t="s">
        <v>39</v>
      </c>
      <c r="F148" s="274" t="s">
        <v>50</v>
      </c>
      <c r="G148" s="489" t="s">
        <v>52</v>
      </c>
      <c r="H148" s="287">
        <f>'прил10 (ведом 23-24)'!M461</f>
        <v>2712.1</v>
      </c>
      <c r="I148" s="287">
        <f>'прил10 (ведом 23-24)'!N461</f>
        <v>2712.1</v>
      </c>
    </row>
    <row r="149" spans="1:9" ht="36" x14ac:dyDescent="0.35">
      <c r="A149" s="461"/>
      <c r="B149" s="472" t="s">
        <v>57</v>
      </c>
      <c r="C149" s="272" t="s">
        <v>65</v>
      </c>
      <c r="D149" s="273" t="s">
        <v>32</v>
      </c>
      <c r="E149" s="273" t="s">
        <v>39</v>
      </c>
      <c r="F149" s="274" t="s">
        <v>50</v>
      </c>
      <c r="G149" s="489" t="s">
        <v>58</v>
      </c>
      <c r="H149" s="287">
        <f>'прил10 (ведом 23-24)'!M462</f>
        <v>265.8</v>
      </c>
      <c r="I149" s="287">
        <f>'прил10 (ведом 23-24)'!N462</f>
        <v>266.7</v>
      </c>
    </row>
    <row r="150" spans="1:9" ht="18" x14ac:dyDescent="0.35">
      <c r="A150" s="461"/>
      <c r="B150" s="285" t="s">
        <v>59</v>
      </c>
      <c r="C150" s="272" t="s">
        <v>65</v>
      </c>
      <c r="D150" s="273" t="s">
        <v>32</v>
      </c>
      <c r="E150" s="273" t="s">
        <v>39</v>
      </c>
      <c r="F150" s="274" t="s">
        <v>50</v>
      </c>
      <c r="G150" s="42" t="s">
        <v>60</v>
      </c>
      <c r="H150" s="287">
        <f>'прил10 (ведом 23-24)'!M463</f>
        <v>4.3</v>
      </c>
      <c r="I150" s="287">
        <f>'прил10 (ведом 23-24)'!N463</f>
        <v>4.3</v>
      </c>
    </row>
    <row r="151" spans="1:9" ht="36" x14ac:dyDescent="0.35">
      <c r="A151" s="461"/>
      <c r="B151" s="472" t="s">
        <v>540</v>
      </c>
      <c r="C151" s="272" t="s">
        <v>65</v>
      </c>
      <c r="D151" s="273" t="s">
        <v>32</v>
      </c>
      <c r="E151" s="273" t="s">
        <v>39</v>
      </c>
      <c r="F151" s="274" t="s">
        <v>93</v>
      </c>
      <c r="G151" s="42"/>
      <c r="H151" s="287">
        <f>SUM(H152:H154)</f>
        <v>6270.9000000000005</v>
      </c>
      <c r="I151" s="287">
        <f>SUM(I152:I154)</f>
        <v>6926.9000000000005</v>
      </c>
    </row>
    <row r="152" spans="1:9" ht="90" x14ac:dyDescent="0.35">
      <c r="A152" s="461"/>
      <c r="B152" s="472" t="s">
        <v>51</v>
      </c>
      <c r="C152" s="272" t="s">
        <v>65</v>
      </c>
      <c r="D152" s="273" t="s">
        <v>32</v>
      </c>
      <c r="E152" s="273" t="s">
        <v>39</v>
      </c>
      <c r="F152" s="274" t="s">
        <v>93</v>
      </c>
      <c r="G152" s="489" t="s">
        <v>52</v>
      </c>
      <c r="H152" s="287">
        <f>'прил10 (ведом 23-24)'!M465</f>
        <v>6121.1</v>
      </c>
      <c r="I152" s="287">
        <f>'прил10 (ведом 23-24)'!N465</f>
        <v>6121.1</v>
      </c>
    </row>
    <row r="153" spans="1:9" ht="36" x14ac:dyDescent="0.35">
      <c r="A153" s="461"/>
      <c r="B153" s="285" t="s">
        <v>57</v>
      </c>
      <c r="C153" s="272" t="s">
        <v>65</v>
      </c>
      <c r="D153" s="273" t="s">
        <v>32</v>
      </c>
      <c r="E153" s="273" t="s">
        <v>39</v>
      </c>
      <c r="F153" s="274" t="s">
        <v>93</v>
      </c>
      <c r="G153" s="489" t="s">
        <v>58</v>
      </c>
      <c r="H153" s="287">
        <f>'прил10 (ведом 23-24)'!M466</f>
        <v>148.19999999999999</v>
      </c>
      <c r="I153" s="287">
        <f>'прил10 (ведом 23-24)'!N466</f>
        <v>804.2</v>
      </c>
    </row>
    <row r="154" spans="1:9" ht="18" x14ac:dyDescent="0.35">
      <c r="A154" s="461"/>
      <c r="B154" s="285" t="s">
        <v>59</v>
      </c>
      <c r="C154" s="272" t="s">
        <v>65</v>
      </c>
      <c r="D154" s="273" t="s">
        <v>32</v>
      </c>
      <c r="E154" s="273" t="s">
        <v>39</v>
      </c>
      <c r="F154" s="274" t="s">
        <v>93</v>
      </c>
      <c r="G154" s="42" t="s">
        <v>60</v>
      </c>
      <c r="H154" s="287">
        <f>'прил10 (ведом 23-24)'!M467</f>
        <v>1.6</v>
      </c>
      <c r="I154" s="287">
        <f>'прил10 (ведом 23-24)'!N467</f>
        <v>1.6</v>
      </c>
    </row>
    <row r="155" spans="1:9" ht="36" x14ac:dyDescent="0.35">
      <c r="A155" s="461"/>
      <c r="B155" s="285" t="s">
        <v>360</v>
      </c>
      <c r="C155" s="272" t="s">
        <v>65</v>
      </c>
      <c r="D155" s="273" t="s">
        <v>32</v>
      </c>
      <c r="E155" s="273" t="s">
        <v>41</v>
      </c>
      <c r="F155" s="274" t="s">
        <v>46</v>
      </c>
      <c r="G155" s="195"/>
      <c r="H155" s="287">
        <f>H156</f>
        <v>53.3</v>
      </c>
      <c r="I155" s="287">
        <f>I156</f>
        <v>53.3</v>
      </c>
    </row>
    <row r="156" spans="1:9" ht="54" x14ac:dyDescent="0.35">
      <c r="A156" s="461"/>
      <c r="B156" s="285" t="s">
        <v>361</v>
      </c>
      <c r="C156" s="272" t="s">
        <v>65</v>
      </c>
      <c r="D156" s="273" t="s">
        <v>32</v>
      </c>
      <c r="E156" s="273" t="s">
        <v>41</v>
      </c>
      <c r="F156" s="274" t="s">
        <v>107</v>
      </c>
      <c r="G156" s="195"/>
      <c r="H156" s="287">
        <f>H157</f>
        <v>53.3</v>
      </c>
      <c r="I156" s="287">
        <f>I157</f>
        <v>53.3</v>
      </c>
    </row>
    <row r="157" spans="1:9" ht="36" x14ac:dyDescent="0.35">
      <c r="A157" s="461"/>
      <c r="B157" s="285" t="s">
        <v>57</v>
      </c>
      <c r="C157" s="272" t="s">
        <v>65</v>
      </c>
      <c r="D157" s="273" t="s">
        <v>32</v>
      </c>
      <c r="E157" s="273" t="s">
        <v>41</v>
      </c>
      <c r="F157" s="274" t="s">
        <v>107</v>
      </c>
      <c r="G157" s="42" t="s">
        <v>58</v>
      </c>
      <c r="H157" s="287">
        <f>'прил10 (ведом 23-24)'!M413</f>
        <v>53.3</v>
      </c>
      <c r="I157" s="287">
        <f>'прил10 (ведом 23-24)'!N413</f>
        <v>53.3</v>
      </c>
    </row>
    <row r="158" spans="1:9" ht="18" x14ac:dyDescent="0.35">
      <c r="A158" s="461"/>
      <c r="B158" s="480"/>
      <c r="C158" s="635"/>
      <c r="D158" s="490"/>
      <c r="E158" s="398"/>
      <c r="F158" s="491"/>
      <c r="G158" s="312"/>
      <c r="H158" s="287"/>
      <c r="I158" s="287"/>
    </row>
    <row r="159" spans="1:9" s="471" customFormat="1" ht="52.2" x14ac:dyDescent="0.3">
      <c r="A159" s="481">
        <v>3</v>
      </c>
      <c r="B159" s="492" t="s">
        <v>219</v>
      </c>
      <c r="C159" s="482" t="s">
        <v>54</v>
      </c>
      <c r="D159" s="482" t="s">
        <v>44</v>
      </c>
      <c r="E159" s="482" t="s">
        <v>45</v>
      </c>
      <c r="F159" s="483" t="s">
        <v>46</v>
      </c>
      <c r="G159" s="470"/>
      <c r="H159" s="337">
        <f>H160+H171+H193</f>
        <v>49505.2</v>
      </c>
      <c r="I159" s="337">
        <f>I160+I171+I193</f>
        <v>30605.3</v>
      </c>
    </row>
    <row r="160" spans="1:9" s="471" customFormat="1" ht="25.5" customHeight="1" x14ac:dyDescent="0.35">
      <c r="A160" s="481"/>
      <c r="B160" s="288" t="s">
        <v>220</v>
      </c>
      <c r="C160" s="272" t="s">
        <v>54</v>
      </c>
      <c r="D160" s="273" t="s">
        <v>47</v>
      </c>
      <c r="E160" s="273" t="s">
        <v>45</v>
      </c>
      <c r="F160" s="274" t="s">
        <v>46</v>
      </c>
      <c r="G160" s="470"/>
      <c r="H160" s="287">
        <f>H161+H164+H168</f>
        <v>4544.5</v>
      </c>
      <c r="I160" s="287">
        <f>I161+I164+I168</f>
        <v>854.7</v>
      </c>
    </row>
    <row r="161" spans="1:9" s="471" customFormat="1" ht="18" x14ac:dyDescent="0.35">
      <c r="A161" s="481"/>
      <c r="B161" s="285" t="s">
        <v>279</v>
      </c>
      <c r="C161" s="272" t="s">
        <v>54</v>
      </c>
      <c r="D161" s="273" t="s">
        <v>47</v>
      </c>
      <c r="E161" s="273" t="s">
        <v>39</v>
      </c>
      <c r="F161" s="274" t="s">
        <v>46</v>
      </c>
      <c r="G161" s="42"/>
      <c r="H161" s="287">
        <f t="shared" ref="H161:I162" si="1">H162</f>
        <v>225</v>
      </c>
      <c r="I161" s="287">
        <f t="shared" si="1"/>
        <v>225</v>
      </c>
    </row>
    <row r="162" spans="1:9" s="471" customFormat="1" ht="36" x14ac:dyDescent="0.35">
      <c r="A162" s="481"/>
      <c r="B162" s="285" t="s">
        <v>280</v>
      </c>
      <c r="C162" s="272" t="s">
        <v>54</v>
      </c>
      <c r="D162" s="273" t="s">
        <v>47</v>
      </c>
      <c r="E162" s="273" t="s">
        <v>39</v>
      </c>
      <c r="F162" s="274" t="s">
        <v>281</v>
      </c>
      <c r="G162" s="42"/>
      <c r="H162" s="287">
        <f t="shared" si="1"/>
        <v>225</v>
      </c>
      <c r="I162" s="287">
        <f t="shared" si="1"/>
        <v>225</v>
      </c>
    </row>
    <row r="163" spans="1:9" s="471" customFormat="1" ht="27" customHeight="1" x14ac:dyDescent="0.35">
      <c r="A163" s="481"/>
      <c r="B163" s="285" t="s">
        <v>122</v>
      </c>
      <c r="C163" s="272" t="s">
        <v>54</v>
      </c>
      <c r="D163" s="273" t="s">
        <v>47</v>
      </c>
      <c r="E163" s="273" t="s">
        <v>39</v>
      </c>
      <c r="F163" s="274" t="s">
        <v>281</v>
      </c>
      <c r="G163" s="42" t="s">
        <v>123</v>
      </c>
      <c r="H163" s="287">
        <f>'прил10 (ведом 23-24)'!M483</f>
        <v>225</v>
      </c>
      <c r="I163" s="287">
        <f>'прил10 (ведом 23-24)'!N483</f>
        <v>225</v>
      </c>
    </row>
    <row r="164" spans="1:9" ht="54" x14ac:dyDescent="0.35">
      <c r="A164" s="461"/>
      <c r="B164" s="285" t="s">
        <v>294</v>
      </c>
      <c r="C164" s="272" t="s">
        <v>54</v>
      </c>
      <c r="D164" s="273" t="s">
        <v>47</v>
      </c>
      <c r="E164" s="273" t="s">
        <v>41</v>
      </c>
      <c r="F164" s="274" t="s">
        <v>46</v>
      </c>
      <c r="G164" s="42"/>
      <c r="H164" s="287">
        <f>H165</f>
        <v>629.70000000000005</v>
      </c>
      <c r="I164" s="287">
        <f>I165</f>
        <v>629.70000000000005</v>
      </c>
    </row>
    <row r="165" spans="1:9" ht="36" x14ac:dyDescent="0.35">
      <c r="A165" s="461"/>
      <c r="B165" s="285" t="s">
        <v>221</v>
      </c>
      <c r="C165" s="272" t="s">
        <v>54</v>
      </c>
      <c r="D165" s="273" t="s">
        <v>47</v>
      </c>
      <c r="E165" s="273" t="s">
        <v>41</v>
      </c>
      <c r="F165" s="274" t="s">
        <v>295</v>
      </c>
      <c r="G165" s="42"/>
      <c r="H165" s="287">
        <f>H166+H167</f>
        <v>629.70000000000005</v>
      </c>
      <c r="I165" s="287">
        <f>I166+I167</f>
        <v>629.70000000000005</v>
      </c>
    </row>
    <row r="166" spans="1:9" ht="90" x14ac:dyDescent="0.35">
      <c r="A166" s="461"/>
      <c r="B166" s="285" t="s">
        <v>51</v>
      </c>
      <c r="C166" s="272" t="s">
        <v>54</v>
      </c>
      <c r="D166" s="273" t="s">
        <v>47</v>
      </c>
      <c r="E166" s="273" t="s">
        <v>41</v>
      </c>
      <c r="F166" s="274" t="s">
        <v>295</v>
      </c>
      <c r="G166" s="42" t="s">
        <v>52</v>
      </c>
      <c r="H166" s="287">
        <f>'прил10 (ведом 23-24)'!M503</f>
        <v>561.70000000000005</v>
      </c>
      <c r="I166" s="287">
        <f>'прил10 (ведом 23-24)'!N503</f>
        <v>561.70000000000005</v>
      </c>
    </row>
    <row r="167" spans="1:9" ht="36" x14ac:dyDescent="0.35">
      <c r="A167" s="461"/>
      <c r="B167" s="285" t="s">
        <v>57</v>
      </c>
      <c r="C167" s="272" t="s">
        <v>54</v>
      </c>
      <c r="D167" s="273" t="s">
        <v>47</v>
      </c>
      <c r="E167" s="273" t="s">
        <v>41</v>
      </c>
      <c r="F167" s="274" t="s">
        <v>295</v>
      </c>
      <c r="G167" s="42" t="s">
        <v>58</v>
      </c>
      <c r="H167" s="287">
        <f>'прил10 (ведом 23-24)'!M504</f>
        <v>68</v>
      </c>
      <c r="I167" s="287">
        <f>'прил10 (ведом 23-24)'!N504</f>
        <v>68</v>
      </c>
    </row>
    <row r="168" spans="1:9" s="471" customFormat="1" ht="27" customHeight="1" x14ac:dyDescent="0.35">
      <c r="A168" s="481"/>
      <c r="B168" s="285" t="s">
        <v>577</v>
      </c>
      <c r="C168" s="272" t="s">
        <v>54</v>
      </c>
      <c r="D168" s="273" t="s">
        <v>47</v>
      </c>
      <c r="E168" s="273" t="s">
        <v>576</v>
      </c>
      <c r="F168" s="274" t="s">
        <v>46</v>
      </c>
      <c r="G168" s="42"/>
      <c r="H168" s="287">
        <f>H169</f>
        <v>3689.8</v>
      </c>
      <c r="I168" s="287">
        <f>I169</f>
        <v>0</v>
      </c>
    </row>
    <row r="169" spans="1:9" s="471" customFormat="1" ht="40.5" customHeight="1" x14ac:dyDescent="0.35">
      <c r="A169" s="481"/>
      <c r="B169" s="285" t="s">
        <v>578</v>
      </c>
      <c r="C169" s="272" t="s">
        <v>54</v>
      </c>
      <c r="D169" s="273" t="s">
        <v>47</v>
      </c>
      <c r="E169" s="273" t="s">
        <v>576</v>
      </c>
      <c r="F169" s="274" t="s">
        <v>588</v>
      </c>
      <c r="G169" s="42"/>
      <c r="H169" s="287">
        <f>H170</f>
        <v>3689.8</v>
      </c>
      <c r="I169" s="287">
        <f>I170</f>
        <v>0</v>
      </c>
    </row>
    <row r="170" spans="1:9" s="471" customFormat="1" ht="37.5" customHeight="1" x14ac:dyDescent="0.35">
      <c r="A170" s="481"/>
      <c r="B170" s="285" t="s">
        <v>57</v>
      </c>
      <c r="C170" s="272" t="s">
        <v>54</v>
      </c>
      <c r="D170" s="273" t="s">
        <v>47</v>
      </c>
      <c r="E170" s="273" t="s">
        <v>576</v>
      </c>
      <c r="F170" s="274" t="s">
        <v>588</v>
      </c>
      <c r="G170" s="42" t="s">
        <v>58</v>
      </c>
      <c r="H170" s="287">
        <f>'прил10 (ведом 23-24)'!M507</f>
        <v>3689.8</v>
      </c>
      <c r="I170" s="287">
        <f>'прил10 (ведом 23-24)'!N507</f>
        <v>0</v>
      </c>
    </row>
    <row r="171" spans="1:9" ht="23.25" customHeight="1" x14ac:dyDescent="0.35">
      <c r="A171" s="461"/>
      <c r="B171" s="472" t="s">
        <v>222</v>
      </c>
      <c r="C171" s="272" t="s">
        <v>54</v>
      </c>
      <c r="D171" s="273" t="s">
        <v>91</v>
      </c>
      <c r="E171" s="273" t="s">
        <v>45</v>
      </c>
      <c r="F171" s="274" t="s">
        <v>46</v>
      </c>
      <c r="G171" s="312"/>
      <c r="H171" s="287">
        <f>H172+H177+H190</f>
        <v>34706.399999999994</v>
      </c>
      <c r="I171" s="287">
        <f>I172+I177+I190</f>
        <v>29750.6</v>
      </c>
    </row>
    <row r="172" spans="1:9" ht="36" x14ac:dyDescent="0.35">
      <c r="A172" s="461"/>
      <c r="B172" s="472" t="s">
        <v>284</v>
      </c>
      <c r="C172" s="272" t="s">
        <v>54</v>
      </c>
      <c r="D172" s="273" t="s">
        <v>91</v>
      </c>
      <c r="E172" s="273" t="s">
        <v>39</v>
      </c>
      <c r="F172" s="274" t="s">
        <v>46</v>
      </c>
      <c r="G172" s="42"/>
      <c r="H172" s="287">
        <f>H173</f>
        <v>2486.9</v>
      </c>
      <c r="I172" s="287">
        <f>I173</f>
        <v>2487.9</v>
      </c>
    </row>
    <row r="173" spans="1:9" ht="36" x14ac:dyDescent="0.35">
      <c r="A173" s="461"/>
      <c r="B173" s="472" t="s">
        <v>49</v>
      </c>
      <c r="C173" s="272" t="s">
        <v>54</v>
      </c>
      <c r="D173" s="273" t="s">
        <v>91</v>
      </c>
      <c r="E173" s="273" t="s">
        <v>39</v>
      </c>
      <c r="F173" s="274" t="s">
        <v>50</v>
      </c>
      <c r="G173" s="42"/>
      <c r="H173" s="287">
        <f>SUM(H174:H176)</f>
        <v>2486.9</v>
      </c>
      <c r="I173" s="287">
        <f>SUM(I174:I176)</f>
        <v>2487.9</v>
      </c>
    </row>
    <row r="174" spans="1:9" ht="90" x14ac:dyDescent="0.35">
      <c r="A174" s="461"/>
      <c r="B174" s="472" t="s">
        <v>51</v>
      </c>
      <c r="C174" s="272" t="s">
        <v>54</v>
      </c>
      <c r="D174" s="273" t="s">
        <v>91</v>
      </c>
      <c r="E174" s="273" t="s">
        <v>39</v>
      </c>
      <c r="F174" s="274" t="s">
        <v>50</v>
      </c>
      <c r="G174" s="42" t="s">
        <v>52</v>
      </c>
      <c r="H174" s="287">
        <f>'прил10 (ведом 23-24)'!M513</f>
        <v>2442.4</v>
      </c>
      <c r="I174" s="287">
        <f>'прил10 (ведом 23-24)'!N513</f>
        <v>2442.4</v>
      </c>
    </row>
    <row r="175" spans="1:9" ht="36" x14ac:dyDescent="0.35">
      <c r="A175" s="461"/>
      <c r="B175" s="285" t="s">
        <v>57</v>
      </c>
      <c r="C175" s="272" t="s">
        <v>54</v>
      </c>
      <c r="D175" s="273" t="s">
        <v>91</v>
      </c>
      <c r="E175" s="273" t="s">
        <v>39</v>
      </c>
      <c r="F175" s="274" t="s">
        <v>50</v>
      </c>
      <c r="G175" s="42" t="s">
        <v>58</v>
      </c>
      <c r="H175" s="287">
        <f>'прил10 (ведом 23-24)'!M514</f>
        <v>42.6</v>
      </c>
      <c r="I175" s="287">
        <f>'прил10 (ведом 23-24)'!N514</f>
        <v>43.7</v>
      </c>
    </row>
    <row r="176" spans="1:9" ht="18" x14ac:dyDescent="0.35">
      <c r="A176" s="461"/>
      <c r="B176" s="285" t="s">
        <v>59</v>
      </c>
      <c r="C176" s="272" t="s">
        <v>54</v>
      </c>
      <c r="D176" s="273" t="s">
        <v>91</v>
      </c>
      <c r="E176" s="273" t="s">
        <v>39</v>
      </c>
      <c r="F176" s="274" t="s">
        <v>50</v>
      </c>
      <c r="G176" s="42" t="s">
        <v>60</v>
      </c>
      <c r="H176" s="287">
        <f>'прил10 (ведом 23-24)'!M515</f>
        <v>1.9</v>
      </c>
      <c r="I176" s="287">
        <f>'прил10 (ведом 23-24)'!N515</f>
        <v>1.8</v>
      </c>
    </row>
    <row r="177" spans="1:9" ht="18" x14ac:dyDescent="0.35">
      <c r="A177" s="461"/>
      <c r="B177" s="472" t="s">
        <v>370</v>
      </c>
      <c r="C177" s="272" t="s">
        <v>54</v>
      </c>
      <c r="D177" s="273" t="s">
        <v>91</v>
      </c>
      <c r="E177" s="273" t="s">
        <v>41</v>
      </c>
      <c r="F177" s="274" t="s">
        <v>46</v>
      </c>
      <c r="G177" s="42"/>
      <c r="H177" s="287">
        <f>H178+H182+H184+H186+H188</f>
        <v>32183.899999999998</v>
      </c>
      <c r="I177" s="287">
        <f>I178+I182+I184+I186+I188</f>
        <v>27227.1</v>
      </c>
    </row>
    <row r="178" spans="1:9" ht="36" x14ac:dyDescent="0.35">
      <c r="A178" s="461"/>
      <c r="B178" s="472" t="s">
        <v>540</v>
      </c>
      <c r="C178" s="272" t="s">
        <v>54</v>
      </c>
      <c r="D178" s="273" t="s">
        <v>91</v>
      </c>
      <c r="E178" s="273" t="s">
        <v>41</v>
      </c>
      <c r="F178" s="274" t="s">
        <v>93</v>
      </c>
      <c r="G178" s="42"/>
      <c r="H178" s="287">
        <f>SUM(H179:H181)</f>
        <v>21191.899999999998</v>
      </c>
      <c r="I178" s="287">
        <f>SUM(I179:I181)</f>
        <v>21201.5</v>
      </c>
    </row>
    <row r="179" spans="1:9" ht="90" x14ac:dyDescent="0.35">
      <c r="A179" s="461"/>
      <c r="B179" s="472" t="s">
        <v>51</v>
      </c>
      <c r="C179" s="272" t="s">
        <v>54</v>
      </c>
      <c r="D179" s="273" t="s">
        <v>91</v>
      </c>
      <c r="E179" s="273" t="s">
        <v>41</v>
      </c>
      <c r="F179" s="274" t="s">
        <v>93</v>
      </c>
      <c r="G179" s="42" t="s">
        <v>52</v>
      </c>
      <c r="H179" s="287">
        <f>'прил10 (ведом 23-24)'!M487</f>
        <v>17974.3</v>
      </c>
      <c r="I179" s="287">
        <f>'прил10 (ведом 23-24)'!N487</f>
        <v>17974.3</v>
      </c>
    </row>
    <row r="180" spans="1:9" ht="36" x14ac:dyDescent="0.35">
      <c r="A180" s="461"/>
      <c r="B180" s="472" t="s">
        <v>57</v>
      </c>
      <c r="C180" s="272" t="s">
        <v>54</v>
      </c>
      <c r="D180" s="273" t="s">
        <v>91</v>
      </c>
      <c r="E180" s="273" t="s">
        <v>41</v>
      </c>
      <c r="F180" s="274" t="s">
        <v>93</v>
      </c>
      <c r="G180" s="42" t="s">
        <v>58</v>
      </c>
      <c r="H180" s="287">
        <f>'прил10 (ведом 23-24)'!M488</f>
        <v>3160.8</v>
      </c>
      <c r="I180" s="287">
        <f>'прил10 (ведом 23-24)'!N488</f>
        <v>3172.4</v>
      </c>
    </row>
    <row r="181" spans="1:9" ht="18" x14ac:dyDescent="0.35">
      <c r="A181" s="461"/>
      <c r="B181" s="472" t="s">
        <v>59</v>
      </c>
      <c r="C181" s="272" t="s">
        <v>54</v>
      </c>
      <c r="D181" s="273" t="s">
        <v>91</v>
      </c>
      <c r="E181" s="273" t="s">
        <v>41</v>
      </c>
      <c r="F181" s="274" t="s">
        <v>93</v>
      </c>
      <c r="G181" s="42" t="s">
        <v>60</v>
      </c>
      <c r="H181" s="287">
        <f>'прил10 (ведом 23-24)'!M489</f>
        <v>56.8</v>
      </c>
      <c r="I181" s="287">
        <f>'прил10 (ведом 23-24)'!N489</f>
        <v>54.8</v>
      </c>
    </row>
    <row r="182" spans="1:9" ht="36" x14ac:dyDescent="0.35">
      <c r="A182" s="461"/>
      <c r="B182" s="285" t="s">
        <v>221</v>
      </c>
      <c r="C182" s="272" t="s">
        <v>54</v>
      </c>
      <c r="D182" s="273" t="s">
        <v>91</v>
      </c>
      <c r="E182" s="273" t="s">
        <v>41</v>
      </c>
      <c r="F182" s="274" t="s">
        <v>295</v>
      </c>
      <c r="G182" s="42"/>
      <c r="H182" s="287">
        <f>H183</f>
        <v>3956.4</v>
      </c>
      <c r="I182" s="287">
        <f>I183</f>
        <v>4110</v>
      </c>
    </row>
    <row r="183" spans="1:9" ht="36" x14ac:dyDescent="0.35">
      <c r="A183" s="461"/>
      <c r="B183" s="285" t="s">
        <v>57</v>
      </c>
      <c r="C183" s="272" t="s">
        <v>54</v>
      </c>
      <c r="D183" s="273" t="s">
        <v>91</v>
      </c>
      <c r="E183" s="273" t="s">
        <v>41</v>
      </c>
      <c r="F183" s="274" t="s">
        <v>295</v>
      </c>
      <c r="G183" s="42" t="s">
        <v>58</v>
      </c>
      <c r="H183" s="287">
        <f>'прил10 (ведом 23-24)'!M491</f>
        <v>3956.4</v>
      </c>
      <c r="I183" s="287">
        <f>'прил10 (ведом 23-24)'!N491</f>
        <v>4110</v>
      </c>
    </row>
    <row r="184" spans="1:9" ht="183.6" customHeight="1" x14ac:dyDescent="0.35">
      <c r="A184" s="461"/>
      <c r="B184" s="285" t="s">
        <v>503</v>
      </c>
      <c r="C184" s="272" t="s">
        <v>54</v>
      </c>
      <c r="D184" s="273" t="s">
        <v>91</v>
      </c>
      <c r="E184" s="273" t="s">
        <v>41</v>
      </c>
      <c r="F184" s="274" t="s">
        <v>451</v>
      </c>
      <c r="G184" s="42"/>
      <c r="H184" s="287">
        <f>H185</f>
        <v>250</v>
      </c>
      <c r="I184" s="287">
        <f>I185</f>
        <v>250</v>
      </c>
    </row>
    <row r="185" spans="1:9" ht="90" x14ac:dyDescent="0.35">
      <c r="A185" s="461"/>
      <c r="B185" s="285" t="s">
        <v>51</v>
      </c>
      <c r="C185" s="272" t="s">
        <v>54</v>
      </c>
      <c r="D185" s="273" t="s">
        <v>91</v>
      </c>
      <c r="E185" s="273" t="s">
        <v>41</v>
      </c>
      <c r="F185" s="274" t="s">
        <v>451</v>
      </c>
      <c r="G185" s="42" t="s">
        <v>52</v>
      </c>
      <c r="H185" s="287">
        <f>'прил10 (ведом 23-24)'!M493</f>
        <v>250</v>
      </c>
      <c r="I185" s="287">
        <f>'прил10 (ведом 23-24)'!N493</f>
        <v>250</v>
      </c>
    </row>
    <row r="186" spans="1:9" ht="54" x14ac:dyDescent="0.35">
      <c r="A186" s="461"/>
      <c r="B186" s="285" t="s">
        <v>506</v>
      </c>
      <c r="C186" s="272" t="s">
        <v>54</v>
      </c>
      <c r="D186" s="273" t="s">
        <v>91</v>
      </c>
      <c r="E186" s="273" t="s">
        <v>41</v>
      </c>
      <c r="F186" s="274" t="s">
        <v>473</v>
      </c>
      <c r="G186" s="42"/>
      <c r="H186" s="287">
        <f>H187</f>
        <v>1665.6</v>
      </c>
      <c r="I186" s="287">
        <f>I187</f>
        <v>1665.6</v>
      </c>
    </row>
    <row r="187" spans="1:9" ht="90" x14ac:dyDescent="0.35">
      <c r="A187" s="461"/>
      <c r="B187" s="285" t="s">
        <v>51</v>
      </c>
      <c r="C187" s="272" t="s">
        <v>54</v>
      </c>
      <c r="D187" s="273" t="s">
        <v>91</v>
      </c>
      <c r="E187" s="273" t="s">
        <v>41</v>
      </c>
      <c r="F187" s="274" t="s">
        <v>473</v>
      </c>
      <c r="G187" s="42" t="s">
        <v>52</v>
      </c>
      <c r="H187" s="287">
        <f>'прил10 (ведом 23-24)'!M495</f>
        <v>1665.6</v>
      </c>
      <c r="I187" s="287">
        <f>'прил10 (ведом 23-24)'!N495</f>
        <v>1665.6</v>
      </c>
    </row>
    <row r="188" spans="1:9" ht="144" x14ac:dyDescent="0.35">
      <c r="A188" s="461"/>
      <c r="B188" s="647" t="s">
        <v>791</v>
      </c>
      <c r="C188" s="644" t="s">
        <v>54</v>
      </c>
      <c r="D188" s="645" t="s">
        <v>91</v>
      </c>
      <c r="E188" s="645" t="s">
        <v>41</v>
      </c>
      <c r="F188" s="646" t="s">
        <v>785</v>
      </c>
      <c r="G188" s="42"/>
      <c r="H188" s="287">
        <f>H189</f>
        <v>5120</v>
      </c>
      <c r="I188" s="287">
        <f>I189</f>
        <v>0</v>
      </c>
    </row>
    <row r="189" spans="1:9" ht="36" x14ac:dyDescent="0.35">
      <c r="A189" s="461"/>
      <c r="B189" s="647" t="s">
        <v>57</v>
      </c>
      <c r="C189" s="644" t="s">
        <v>54</v>
      </c>
      <c r="D189" s="645" t="s">
        <v>91</v>
      </c>
      <c r="E189" s="645" t="s">
        <v>41</v>
      </c>
      <c r="F189" s="646" t="s">
        <v>785</v>
      </c>
      <c r="G189" s="643" t="s">
        <v>58</v>
      </c>
      <c r="H189" s="287">
        <f>'прил10 (ведом 23-24)'!M497</f>
        <v>5120</v>
      </c>
      <c r="I189" s="287">
        <f>'прил10 (ведом 23-24)'!N497</f>
        <v>0</v>
      </c>
    </row>
    <row r="190" spans="1:9" ht="36" x14ac:dyDescent="0.35">
      <c r="A190" s="461"/>
      <c r="B190" s="285" t="s">
        <v>360</v>
      </c>
      <c r="C190" s="272" t="s">
        <v>54</v>
      </c>
      <c r="D190" s="273" t="s">
        <v>91</v>
      </c>
      <c r="E190" s="273" t="s">
        <v>65</v>
      </c>
      <c r="F190" s="274" t="s">
        <v>46</v>
      </c>
      <c r="G190" s="42"/>
      <c r="H190" s="287">
        <f>H191</f>
        <v>35.6</v>
      </c>
      <c r="I190" s="287">
        <f>I191</f>
        <v>35.6</v>
      </c>
    </row>
    <row r="191" spans="1:9" ht="54" x14ac:dyDescent="0.35">
      <c r="A191" s="461"/>
      <c r="B191" s="285" t="s">
        <v>361</v>
      </c>
      <c r="C191" s="272" t="s">
        <v>54</v>
      </c>
      <c r="D191" s="273" t="s">
        <v>91</v>
      </c>
      <c r="E191" s="273" t="s">
        <v>65</v>
      </c>
      <c r="F191" s="274" t="s">
        <v>107</v>
      </c>
      <c r="G191" s="42"/>
      <c r="H191" s="287">
        <f>H192</f>
        <v>35.6</v>
      </c>
      <c r="I191" s="287">
        <f>I192</f>
        <v>35.6</v>
      </c>
    </row>
    <row r="192" spans="1:9" ht="36" x14ac:dyDescent="0.35">
      <c r="A192" s="461"/>
      <c r="B192" s="288" t="s">
        <v>57</v>
      </c>
      <c r="C192" s="272" t="s">
        <v>54</v>
      </c>
      <c r="D192" s="273" t="s">
        <v>91</v>
      </c>
      <c r="E192" s="273" t="s">
        <v>65</v>
      </c>
      <c r="F192" s="274" t="s">
        <v>107</v>
      </c>
      <c r="G192" s="42" t="s">
        <v>58</v>
      </c>
      <c r="H192" s="287">
        <f>'прил10 (ведом 23-24)'!M476</f>
        <v>35.6</v>
      </c>
      <c r="I192" s="287">
        <f>'прил10 (ведом 23-24)'!N476</f>
        <v>35.6</v>
      </c>
    </row>
    <row r="193" spans="1:9" ht="18" x14ac:dyDescent="0.35">
      <c r="A193" s="461"/>
      <c r="B193" s="493" t="s">
        <v>345</v>
      </c>
      <c r="C193" s="473" t="s">
        <v>54</v>
      </c>
      <c r="D193" s="474" t="s">
        <v>33</v>
      </c>
      <c r="E193" s="474" t="s">
        <v>45</v>
      </c>
      <c r="F193" s="475" t="s">
        <v>46</v>
      </c>
      <c r="G193" s="476"/>
      <c r="H193" s="287">
        <f t="shared" ref="H193:I195" si="2">H194</f>
        <v>10254.300000000001</v>
      </c>
      <c r="I193" s="287">
        <f t="shared" si="2"/>
        <v>0</v>
      </c>
    </row>
    <row r="194" spans="1:9" ht="54" x14ac:dyDescent="0.35">
      <c r="A194" s="461"/>
      <c r="B194" s="493" t="s">
        <v>474</v>
      </c>
      <c r="C194" s="473" t="s">
        <v>54</v>
      </c>
      <c r="D194" s="474" t="s">
        <v>33</v>
      </c>
      <c r="E194" s="474" t="s">
        <v>65</v>
      </c>
      <c r="F194" s="475" t="s">
        <v>46</v>
      </c>
      <c r="G194" s="476"/>
      <c r="H194" s="287">
        <f t="shared" si="2"/>
        <v>10254.300000000001</v>
      </c>
      <c r="I194" s="287">
        <f t="shared" si="2"/>
        <v>0</v>
      </c>
    </row>
    <row r="195" spans="1:9" ht="36" x14ac:dyDescent="0.35">
      <c r="A195" s="461"/>
      <c r="B195" s="493" t="s">
        <v>221</v>
      </c>
      <c r="C195" s="473" t="s">
        <v>54</v>
      </c>
      <c r="D195" s="474" t="s">
        <v>33</v>
      </c>
      <c r="E195" s="474" t="s">
        <v>65</v>
      </c>
      <c r="F195" s="475" t="s">
        <v>295</v>
      </c>
      <c r="G195" s="476"/>
      <c r="H195" s="287">
        <f t="shared" si="2"/>
        <v>10254.300000000001</v>
      </c>
      <c r="I195" s="287">
        <f t="shared" si="2"/>
        <v>0</v>
      </c>
    </row>
    <row r="196" spans="1:9" ht="36" x14ac:dyDescent="0.35">
      <c r="A196" s="461"/>
      <c r="B196" s="493" t="s">
        <v>205</v>
      </c>
      <c r="C196" s="473" t="s">
        <v>54</v>
      </c>
      <c r="D196" s="474" t="s">
        <v>33</v>
      </c>
      <c r="E196" s="474" t="s">
        <v>65</v>
      </c>
      <c r="F196" s="475" t="s">
        <v>295</v>
      </c>
      <c r="G196" s="494" t="s">
        <v>206</v>
      </c>
      <c r="H196" s="287">
        <f>'прил10 (ведом 23-24)'!M269</f>
        <v>10254.300000000001</v>
      </c>
      <c r="I196" s="287">
        <f>'прил10 (ведом 23-24)'!N269</f>
        <v>0</v>
      </c>
    </row>
    <row r="197" spans="1:9" ht="18" x14ac:dyDescent="0.35">
      <c r="A197" s="461"/>
      <c r="B197" s="480"/>
      <c r="C197" s="634"/>
      <c r="D197" s="635"/>
      <c r="E197" s="635"/>
      <c r="F197" s="636"/>
      <c r="G197" s="312"/>
      <c r="H197" s="287"/>
      <c r="I197" s="287"/>
    </row>
    <row r="198" spans="1:9" s="471" customFormat="1" ht="52.2" x14ac:dyDescent="0.3">
      <c r="A198" s="481">
        <v>4</v>
      </c>
      <c r="B198" s="392" t="s">
        <v>223</v>
      </c>
      <c r="C198" s="468" t="s">
        <v>67</v>
      </c>
      <c r="D198" s="468" t="s">
        <v>44</v>
      </c>
      <c r="E198" s="468" t="s">
        <v>45</v>
      </c>
      <c r="F198" s="469" t="s">
        <v>46</v>
      </c>
      <c r="G198" s="470"/>
      <c r="H198" s="337">
        <f>H199+H205</f>
        <v>6956.4</v>
      </c>
      <c r="I198" s="337">
        <f>I199+I205</f>
        <v>6961.9</v>
      </c>
    </row>
    <row r="199" spans="1:9" s="471" customFormat="1" ht="18" x14ac:dyDescent="0.35">
      <c r="A199" s="461"/>
      <c r="B199" s="472" t="s">
        <v>224</v>
      </c>
      <c r="C199" s="272" t="s">
        <v>67</v>
      </c>
      <c r="D199" s="273" t="s">
        <v>47</v>
      </c>
      <c r="E199" s="273" t="s">
        <v>45</v>
      </c>
      <c r="F199" s="274" t="s">
        <v>46</v>
      </c>
      <c r="G199" s="312"/>
      <c r="H199" s="287">
        <f t="shared" ref="H199:I200" si="3">H200</f>
        <v>3771.5999999999995</v>
      </c>
      <c r="I199" s="287">
        <f t="shared" si="3"/>
        <v>3771.5999999999995</v>
      </c>
    </row>
    <row r="200" spans="1:9" s="471" customFormat="1" ht="72" x14ac:dyDescent="0.35">
      <c r="A200" s="461"/>
      <c r="B200" s="472" t="s">
        <v>290</v>
      </c>
      <c r="C200" s="272" t="s">
        <v>67</v>
      </c>
      <c r="D200" s="273" t="s">
        <v>47</v>
      </c>
      <c r="E200" s="273" t="s">
        <v>39</v>
      </c>
      <c r="F200" s="274" t="s">
        <v>46</v>
      </c>
      <c r="G200" s="42"/>
      <c r="H200" s="287">
        <f t="shared" si="3"/>
        <v>3771.5999999999995</v>
      </c>
      <c r="I200" s="287">
        <f t="shared" si="3"/>
        <v>3771.5999999999995</v>
      </c>
    </row>
    <row r="201" spans="1:9" ht="36" x14ac:dyDescent="0.35">
      <c r="A201" s="461"/>
      <c r="B201" s="472" t="s">
        <v>540</v>
      </c>
      <c r="C201" s="272" t="s">
        <v>67</v>
      </c>
      <c r="D201" s="273" t="s">
        <v>47</v>
      </c>
      <c r="E201" s="273" t="s">
        <v>39</v>
      </c>
      <c r="F201" s="274" t="s">
        <v>93</v>
      </c>
      <c r="G201" s="42"/>
      <c r="H201" s="287">
        <f>SUM(H202:H204)</f>
        <v>3771.5999999999995</v>
      </c>
      <c r="I201" s="287">
        <f>SUM(I202:I204)</f>
        <v>3771.5999999999995</v>
      </c>
    </row>
    <row r="202" spans="1:9" ht="90" x14ac:dyDescent="0.35">
      <c r="A202" s="461"/>
      <c r="B202" s="472" t="s">
        <v>51</v>
      </c>
      <c r="C202" s="272" t="s">
        <v>67</v>
      </c>
      <c r="D202" s="273" t="s">
        <v>47</v>
      </c>
      <c r="E202" s="273" t="s">
        <v>39</v>
      </c>
      <c r="F202" s="274" t="s">
        <v>93</v>
      </c>
      <c r="G202" s="42" t="s">
        <v>52</v>
      </c>
      <c r="H202" s="287">
        <f>'прил10 (ведом 23-24)'!M537</f>
        <v>3374.2</v>
      </c>
      <c r="I202" s="287">
        <f>'прил10 (ведом 23-24)'!N537</f>
        <v>3374.2</v>
      </c>
    </row>
    <row r="203" spans="1:9" ht="36" x14ac:dyDescent="0.35">
      <c r="A203" s="461"/>
      <c r="B203" s="285" t="s">
        <v>57</v>
      </c>
      <c r="C203" s="272" t="s">
        <v>67</v>
      </c>
      <c r="D203" s="273" t="s">
        <v>47</v>
      </c>
      <c r="E203" s="273" t="s">
        <v>39</v>
      </c>
      <c r="F203" s="274" t="s">
        <v>93</v>
      </c>
      <c r="G203" s="42" t="s">
        <v>58</v>
      </c>
      <c r="H203" s="287">
        <f>'прил10 (ведом 23-24)'!M538</f>
        <v>394.7</v>
      </c>
      <c r="I203" s="287">
        <f>'прил10 (ведом 23-24)'!N538</f>
        <v>394.7</v>
      </c>
    </row>
    <row r="204" spans="1:9" ht="18" x14ac:dyDescent="0.35">
      <c r="A204" s="461"/>
      <c r="B204" s="285" t="s">
        <v>59</v>
      </c>
      <c r="C204" s="272" t="s">
        <v>67</v>
      </c>
      <c r="D204" s="273" t="s">
        <v>47</v>
      </c>
      <c r="E204" s="273" t="s">
        <v>39</v>
      </c>
      <c r="F204" s="274" t="s">
        <v>93</v>
      </c>
      <c r="G204" s="42" t="s">
        <v>60</v>
      </c>
      <c r="H204" s="287">
        <f>'прил10 (ведом 23-24)'!M539</f>
        <v>2.7</v>
      </c>
      <c r="I204" s="287">
        <f>'прил10 (ведом 23-24)'!N539</f>
        <v>2.7</v>
      </c>
    </row>
    <row r="205" spans="1:9" s="471" customFormat="1" ht="22.5" customHeight="1" x14ac:dyDescent="0.35">
      <c r="A205" s="461"/>
      <c r="B205" s="472" t="s">
        <v>222</v>
      </c>
      <c r="C205" s="272" t="s">
        <v>67</v>
      </c>
      <c r="D205" s="273" t="s">
        <v>91</v>
      </c>
      <c r="E205" s="273" t="s">
        <v>45</v>
      </c>
      <c r="F205" s="274" t="s">
        <v>46</v>
      </c>
      <c r="G205" s="42"/>
      <c r="H205" s="287">
        <f>H206+H211+H214+H217</f>
        <v>3184.8</v>
      </c>
      <c r="I205" s="287">
        <f>I206+I211+I214+I217</f>
        <v>3190.2999999999997</v>
      </c>
    </row>
    <row r="206" spans="1:9" s="471" customFormat="1" ht="36" x14ac:dyDescent="0.35">
      <c r="A206" s="461"/>
      <c r="B206" s="472" t="s">
        <v>284</v>
      </c>
      <c r="C206" s="272" t="s">
        <v>67</v>
      </c>
      <c r="D206" s="273" t="s">
        <v>91</v>
      </c>
      <c r="E206" s="273" t="s">
        <v>39</v>
      </c>
      <c r="F206" s="274" t="s">
        <v>46</v>
      </c>
      <c r="G206" s="42"/>
      <c r="H206" s="287">
        <f>H207</f>
        <v>3033.9</v>
      </c>
      <c r="I206" s="287">
        <f>I207</f>
        <v>3039.3999999999996</v>
      </c>
    </row>
    <row r="207" spans="1:9" s="471" customFormat="1" ht="36" x14ac:dyDescent="0.35">
      <c r="A207" s="461"/>
      <c r="B207" s="472" t="s">
        <v>49</v>
      </c>
      <c r="C207" s="272" t="s">
        <v>67</v>
      </c>
      <c r="D207" s="273" t="s">
        <v>91</v>
      </c>
      <c r="E207" s="273" t="s">
        <v>39</v>
      </c>
      <c r="F207" s="274" t="s">
        <v>50</v>
      </c>
      <c r="G207" s="42"/>
      <c r="H207" s="287">
        <f>SUM(H208:H210)</f>
        <v>3033.9</v>
      </c>
      <c r="I207" s="287">
        <f>SUM(I208:I210)</f>
        <v>3039.3999999999996</v>
      </c>
    </row>
    <row r="208" spans="1:9" s="471" customFormat="1" ht="90" x14ac:dyDescent="0.35">
      <c r="A208" s="461"/>
      <c r="B208" s="472" t="s">
        <v>51</v>
      </c>
      <c r="C208" s="272" t="s">
        <v>67</v>
      </c>
      <c r="D208" s="273" t="s">
        <v>91</v>
      </c>
      <c r="E208" s="273" t="s">
        <v>39</v>
      </c>
      <c r="F208" s="274" t="s">
        <v>50</v>
      </c>
      <c r="G208" s="42" t="s">
        <v>52</v>
      </c>
      <c r="H208" s="287">
        <f>'прил10 (ведом 23-24)'!M545</f>
        <v>2735.5</v>
      </c>
      <c r="I208" s="287">
        <f>'прил10 (ведом 23-24)'!N545</f>
        <v>2735.5</v>
      </c>
    </row>
    <row r="209" spans="1:9" ht="36" x14ac:dyDescent="0.35">
      <c r="A209" s="461"/>
      <c r="B209" s="472" t="s">
        <v>57</v>
      </c>
      <c r="C209" s="272" t="s">
        <v>67</v>
      </c>
      <c r="D209" s="273" t="s">
        <v>91</v>
      </c>
      <c r="E209" s="273" t="s">
        <v>39</v>
      </c>
      <c r="F209" s="274" t="s">
        <v>50</v>
      </c>
      <c r="G209" s="42" t="s">
        <v>58</v>
      </c>
      <c r="H209" s="287">
        <f>'прил10 (ведом 23-24)'!M546</f>
        <v>297.10000000000002</v>
      </c>
      <c r="I209" s="287">
        <f>'прил10 (ведом 23-24)'!N546</f>
        <v>302.7</v>
      </c>
    </row>
    <row r="210" spans="1:9" ht="18" x14ac:dyDescent="0.35">
      <c r="A210" s="461"/>
      <c r="B210" s="472" t="s">
        <v>59</v>
      </c>
      <c r="C210" s="272" t="s">
        <v>67</v>
      </c>
      <c r="D210" s="273" t="s">
        <v>91</v>
      </c>
      <c r="E210" s="273" t="s">
        <v>39</v>
      </c>
      <c r="F210" s="274" t="s">
        <v>50</v>
      </c>
      <c r="G210" s="42" t="s">
        <v>60</v>
      </c>
      <c r="H210" s="287">
        <f>'прил10 (ведом 23-24)'!M547</f>
        <v>1.3</v>
      </c>
      <c r="I210" s="287">
        <f>'прил10 (ведом 23-24)'!N547</f>
        <v>1.2</v>
      </c>
    </row>
    <row r="211" spans="1:9" ht="36" x14ac:dyDescent="0.35">
      <c r="A211" s="461"/>
      <c r="B211" s="495" t="s">
        <v>360</v>
      </c>
      <c r="C211" s="273" t="s">
        <v>67</v>
      </c>
      <c r="D211" s="273" t="s">
        <v>91</v>
      </c>
      <c r="E211" s="273" t="s">
        <v>41</v>
      </c>
      <c r="F211" s="274" t="s">
        <v>46</v>
      </c>
      <c r="G211" s="42"/>
      <c r="H211" s="287">
        <f>H212</f>
        <v>93.6</v>
      </c>
      <c r="I211" s="287">
        <f>I212</f>
        <v>93.6</v>
      </c>
    </row>
    <row r="212" spans="1:9" ht="54" x14ac:dyDescent="0.35">
      <c r="A212" s="461"/>
      <c r="B212" s="495" t="s">
        <v>361</v>
      </c>
      <c r="C212" s="272" t="s">
        <v>67</v>
      </c>
      <c r="D212" s="273" t="s">
        <v>91</v>
      </c>
      <c r="E212" s="273" t="s">
        <v>41</v>
      </c>
      <c r="F212" s="274" t="s">
        <v>107</v>
      </c>
      <c r="G212" s="42"/>
      <c r="H212" s="287">
        <f>H213</f>
        <v>93.6</v>
      </c>
      <c r="I212" s="287">
        <f>I213</f>
        <v>93.6</v>
      </c>
    </row>
    <row r="213" spans="1:9" ht="36" x14ac:dyDescent="0.35">
      <c r="A213" s="461"/>
      <c r="B213" s="495" t="s">
        <v>57</v>
      </c>
      <c r="C213" s="272" t="s">
        <v>67</v>
      </c>
      <c r="D213" s="273" t="s">
        <v>91</v>
      </c>
      <c r="E213" s="273" t="s">
        <v>41</v>
      </c>
      <c r="F213" s="274" t="s">
        <v>107</v>
      </c>
      <c r="G213" s="42" t="s">
        <v>58</v>
      </c>
      <c r="H213" s="287">
        <f>'прил10 (ведом 23-24)'!M524</f>
        <v>93.6</v>
      </c>
      <c r="I213" s="287">
        <f>'прил10 (ведом 23-24)'!N524</f>
        <v>93.6</v>
      </c>
    </row>
    <row r="214" spans="1:9" ht="36" x14ac:dyDescent="0.35">
      <c r="A214" s="461"/>
      <c r="B214" s="285" t="s">
        <v>544</v>
      </c>
      <c r="C214" s="273" t="s">
        <v>67</v>
      </c>
      <c r="D214" s="273" t="s">
        <v>91</v>
      </c>
      <c r="E214" s="273" t="s">
        <v>65</v>
      </c>
      <c r="F214" s="274" t="s">
        <v>46</v>
      </c>
      <c r="G214" s="42"/>
      <c r="H214" s="287">
        <f>H215</f>
        <v>14.8</v>
      </c>
      <c r="I214" s="287">
        <f>I215</f>
        <v>14.8</v>
      </c>
    </row>
    <row r="215" spans="1:9" ht="18" x14ac:dyDescent="0.35">
      <c r="A215" s="461"/>
      <c r="B215" s="285" t="s">
        <v>542</v>
      </c>
      <c r="C215" s="273" t="s">
        <v>67</v>
      </c>
      <c r="D215" s="273" t="s">
        <v>91</v>
      </c>
      <c r="E215" s="273" t="s">
        <v>65</v>
      </c>
      <c r="F215" s="274" t="s">
        <v>543</v>
      </c>
      <c r="G215" s="42"/>
      <c r="H215" s="287">
        <f>H216</f>
        <v>14.8</v>
      </c>
      <c r="I215" s="287">
        <f>I216</f>
        <v>14.8</v>
      </c>
    </row>
    <row r="216" spans="1:9" ht="36" x14ac:dyDescent="0.35">
      <c r="A216" s="461"/>
      <c r="B216" s="495" t="s">
        <v>57</v>
      </c>
      <c r="C216" s="273" t="s">
        <v>67</v>
      </c>
      <c r="D216" s="273" t="s">
        <v>91</v>
      </c>
      <c r="E216" s="273" t="s">
        <v>65</v>
      </c>
      <c r="F216" s="274" t="s">
        <v>543</v>
      </c>
      <c r="G216" s="42" t="s">
        <v>58</v>
      </c>
      <c r="H216" s="287">
        <f>'прил10 (ведом 23-24)'!M527</f>
        <v>14.8</v>
      </c>
      <c r="I216" s="287">
        <f>'прил10 (ведом 23-24)'!N527</f>
        <v>14.8</v>
      </c>
    </row>
    <row r="217" spans="1:9" ht="36" x14ac:dyDescent="0.35">
      <c r="A217" s="461"/>
      <c r="B217" s="495" t="s">
        <v>554</v>
      </c>
      <c r="C217" s="273" t="s">
        <v>67</v>
      </c>
      <c r="D217" s="273" t="s">
        <v>91</v>
      </c>
      <c r="E217" s="273" t="s">
        <v>54</v>
      </c>
      <c r="F217" s="636" t="s">
        <v>46</v>
      </c>
      <c r="G217" s="312"/>
      <c r="H217" s="287">
        <f>H218</f>
        <v>42.5</v>
      </c>
      <c r="I217" s="287">
        <f>I218</f>
        <v>42.5</v>
      </c>
    </row>
    <row r="218" spans="1:9" ht="36" x14ac:dyDescent="0.35">
      <c r="A218" s="461"/>
      <c r="B218" s="496" t="s">
        <v>129</v>
      </c>
      <c r="C218" s="273" t="s">
        <v>67</v>
      </c>
      <c r="D218" s="273" t="s">
        <v>91</v>
      </c>
      <c r="E218" s="273" t="s">
        <v>54</v>
      </c>
      <c r="F218" s="497" t="s">
        <v>92</v>
      </c>
      <c r="G218" s="312"/>
      <c r="H218" s="287">
        <f>H219</f>
        <v>42.5</v>
      </c>
      <c r="I218" s="287">
        <f>I219</f>
        <v>42.5</v>
      </c>
    </row>
    <row r="219" spans="1:9" ht="36" x14ac:dyDescent="0.35">
      <c r="A219" s="461"/>
      <c r="B219" s="495" t="s">
        <v>57</v>
      </c>
      <c r="C219" s="273" t="s">
        <v>67</v>
      </c>
      <c r="D219" s="273" t="s">
        <v>91</v>
      </c>
      <c r="E219" s="273" t="s">
        <v>54</v>
      </c>
      <c r="F219" s="636" t="s">
        <v>92</v>
      </c>
      <c r="G219" s="312" t="s">
        <v>58</v>
      </c>
      <c r="H219" s="287">
        <f>'прил10 (ведом 23-24)'!M530</f>
        <v>42.5</v>
      </c>
      <c r="I219" s="287">
        <f>'прил10 (ведом 23-24)'!N530</f>
        <v>42.5</v>
      </c>
    </row>
    <row r="220" spans="1:9" ht="18" x14ac:dyDescent="0.35">
      <c r="A220" s="461"/>
      <c r="B220" s="472"/>
      <c r="C220" s="273"/>
      <c r="D220" s="273"/>
      <c r="E220" s="273"/>
      <c r="F220" s="274"/>
      <c r="G220" s="42"/>
      <c r="H220" s="287"/>
      <c r="I220" s="287"/>
    </row>
    <row r="221" spans="1:9" s="471" customFormat="1" ht="52.2" x14ac:dyDescent="0.3">
      <c r="A221" s="481">
        <v>5</v>
      </c>
      <c r="B221" s="392" t="s">
        <v>82</v>
      </c>
      <c r="C221" s="482" t="s">
        <v>83</v>
      </c>
      <c r="D221" s="482" t="s">
        <v>44</v>
      </c>
      <c r="E221" s="482" t="s">
        <v>45</v>
      </c>
      <c r="F221" s="483" t="s">
        <v>46</v>
      </c>
      <c r="G221" s="470"/>
      <c r="H221" s="337">
        <f>H238+H222+H228+H244</f>
        <v>13058</v>
      </c>
      <c r="I221" s="337">
        <f>I238+I222+I228+I244</f>
        <v>11858.499999999998</v>
      </c>
    </row>
    <row r="222" spans="1:9" ht="54" x14ac:dyDescent="0.35">
      <c r="A222" s="461"/>
      <c r="B222" s="484" t="s">
        <v>84</v>
      </c>
      <c r="C222" s="272" t="s">
        <v>83</v>
      </c>
      <c r="D222" s="273" t="s">
        <v>47</v>
      </c>
      <c r="E222" s="273" t="s">
        <v>45</v>
      </c>
      <c r="F222" s="274" t="s">
        <v>46</v>
      </c>
      <c r="G222" s="312"/>
      <c r="H222" s="287">
        <f t="shared" ref="H222:I222" si="4">H223</f>
        <v>362.29999999999995</v>
      </c>
      <c r="I222" s="287">
        <f t="shared" si="4"/>
        <v>362.29999999999995</v>
      </c>
    </row>
    <row r="223" spans="1:9" ht="72" x14ac:dyDescent="0.35">
      <c r="A223" s="461"/>
      <c r="B223" s="472" t="s">
        <v>85</v>
      </c>
      <c r="C223" s="272" t="s">
        <v>83</v>
      </c>
      <c r="D223" s="273" t="s">
        <v>47</v>
      </c>
      <c r="E223" s="273" t="s">
        <v>39</v>
      </c>
      <c r="F223" s="274" t="s">
        <v>46</v>
      </c>
      <c r="G223" s="42"/>
      <c r="H223" s="287">
        <f>H224+H226</f>
        <v>362.29999999999995</v>
      </c>
      <c r="I223" s="287">
        <f>I224+I226</f>
        <v>362.29999999999995</v>
      </c>
    </row>
    <row r="224" spans="1:9" ht="36" x14ac:dyDescent="0.35">
      <c r="A224" s="461"/>
      <c r="B224" s="288" t="s">
        <v>525</v>
      </c>
      <c r="C224" s="272" t="s">
        <v>83</v>
      </c>
      <c r="D224" s="273" t="s">
        <v>47</v>
      </c>
      <c r="E224" s="273" t="s">
        <v>39</v>
      </c>
      <c r="F224" s="274" t="s">
        <v>86</v>
      </c>
      <c r="G224" s="42"/>
      <c r="H224" s="287">
        <f>H225</f>
        <v>298.39999999999998</v>
      </c>
      <c r="I224" s="287">
        <f>I225</f>
        <v>298.39999999999998</v>
      </c>
    </row>
    <row r="225" spans="1:9" ht="36" x14ac:dyDescent="0.35">
      <c r="A225" s="461"/>
      <c r="B225" s="285" t="s">
        <v>57</v>
      </c>
      <c r="C225" s="272" t="s">
        <v>83</v>
      </c>
      <c r="D225" s="273" t="s">
        <v>47</v>
      </c>
      <c r="E225" s="273" t="s">
        <v>39</v>
      </c>
      <c r="F225" s="274" t="s">
        <v>86</v>
      </c>
      <c r="G225" s="42" t="s">
        <v>58</v>
      </c>
      <c r="H225" s="287">
        <f>'прил10 (ведом 23-24)'!M89</f>
        <v>298.39999999999998</v>
      </c>
      <c r="I225" s="287">
        <f>'прил10 (ведом 23-24)'!N89</f>
        <v>298.39999999999998</v>
      </c>
    </row>
    <row r="226" spans="1:9" ht="42" customHeight="1" x14ac:dyDescent="0.35">
      <c r="A226" s="461"/>
      <c r="B226" s="285" t="s">
        <v>87</v>
      </c>
      <c r="C226" s="272" t="s">
        <v>83</v>
      </c>
      <c r="D226" s="273" t="s">
        <v>47</v>
      </c>
      <c r="E226" s="273" t="s">
        <v>39</v>
      </c>
      <c r="F226" s="274" t="s">
        <v>88</v>
      </c>
      <c r="G226" s="42"/>
      <c r="H226" s="287">
        <f>H227</f>
        <v>63.9</v>
      </c>
      <c r="I226" s="287">
        <f>I227</f>
        <v>63.9</v>
      </c>
    </row>
    <row r="227" spans="1:9" ht="36" x14ac:dyDescent="0.35">
      <c r="A227" s="461"/>
      <c r="B227" s="285" t="s">
        <v>57</v>
      </c>
      <c r="C227" s="272" t="s">
        <v>83</v>
      </c>
      <c r="D227" s="273" t="s">
        <v>47</v>
      </c>
      <c r="E227" s="273" t="s">
        <v>39</v>
      </c>
      <c r="F227" s="274" t="s">
        <v>88</v>
      </c>
      <c r="G227" s="42" t="s">
        <v>58</v>
      </c>
      <c r="H227" s="287">
        <f>'прил10 (ведом 23-24)'!M91</f>
        <v>63.9</v>
      </c>
      <c r="I227" s="287">
        <f>'прил10 (ведом 23-24)'!N91</f>
        <v>63.9</v>
      </c>
    </row>
    <row r="228" spans="1:9" ht="36" x14ac:dyDescent="0.35">
      <c r="A228" s="461"/>
      <c r="B228" s="498" t="s">
        <v>127</v>
      </c>
      <c r="C228" s="272" t="s">
        <v>83</v>
      </c>
      <c r="D228" s="273" t="s">
        <v>91</v>
      </c>
      <c r="E228" s="273" t="s">
        <v>45</v>
      </c>
      <c r="F228" s="274" t="s">
        <v>46</v>
      </c>
      <c r="G228" s="312"/>
      <c r="H228" s="287">
        <f>H229+H235</f>
        <v>1665.3000000000002</v>
      </c>
      <c r="I228" s="287">
        <f>I229+I235</f>
        <v>465.40000000000003</v>
      </c>
    </row>
    <row r="229" spans="1:9" ht="36" x14ac:dyDescent="0.35">
      <c r="A229" s="461"/>
      <c r="B229" s="285" t="s">
        <v>273</v>
      </c>
      <c r="C229" s="272" t="s">
        <v>83</v>
      </c>
      <c r="D229" s="273" t="s">
        <v>91</v>
      </c>
      <c r="E229" s="273" t="s">
        <v>39</v>
      </c>
      <c r="F229" s="274" t="s">
        <v>46</v>
      </c>
      <c r="G229" s="42"/>
      <c r="H229" s="287">
        <f>H232+H230</f>
        <v>1221.7</v>
      </c>
      <c r="I229" s="287">
        <f>I232+I230</f>
        <v>21.8</v>
      </c>
    </row>
    <row r="230" spans="1:9" ht="36" x14ac:dyDescent="0.35">
      <c r="A230" s="461"/>
      <c r="B230" s="499" t="s">
        <v>129</v>
      </c>
      <c r="C230" s="272" t="s">
        <v>83</v>
      </c>
      <c r="D230" s="273" t="s">
        <v>91</v>
      </c>
      <c r="E230" s="273" t="s">
        <v>39</v>
      </c>
      <c r="F230" s="274" t="s">
        <v>92</v>
      </c>
      <c r="G230" s="42"/>
      <c r="H230" s="287">
        <f>H231</f>
        <v>21.8</v>
      </c>
      <c r="I230" s="287">
        <f>I231</f>
        <v>21.8</v>
      </c>
    </row>
    <row r="231" spans="1:9" ht="36" x14ac:dyDescent="0.35">
      <c r="A231" s="461"/>
      <c r="B231" s="285" t="s">
        <v>57</v>
      </c>
      <c r="C231" s="272" t="s">
        <v>83</v>
      </c>
      <c r="D231" s="273" t="s">
        <v>91</v>
      </c>
      <c r="E231" s="273" t="s">
        <v>39</v>
      </c>
      <c r="F231" s="274" t="s">
        <v>92</v>
      </c>
      <c r="G231" s="42" t="s">
        <v>58</v>
      </c>
      <c r="H231" s="287">
        <f>'прил10 (ведом 23-24)'!M97</f>
        <v>21.8</v>
      </c>
      <c r="I231" s="287">
        <f>'прил10 (ведом 23-24)'!N97</f>
        <v>21.8</v>
      </c>
    </row>
    <row r="232" spans="1:9" ht="18" x14ac:dyDescent="0.35">
      <c r="A232" s="461"/>
      <c r="B232" s="285" t="s">
        <v>497</v>
      </c>
      <c r="C232" s="272" t="s">
        <v>83</v>
      </c>
      <c r="D232" s="273" t="s">
        <v>91</v>
      </c>
      <c r="E232" s="273" t="s">
        <v>39</v>
      </c>
      <c r="F232" s="274" t="s">
        <v>498</v>
      </c>
      <c r="G232" s="42"/>
      <c r="H232" s="287">
        <f>H233+H234</f>
        <v>1199.9000000000001</v>
      </c>
      <c r="I232" s="287">
        <f>I233+I234</f>
        <v>0</v>
      </c>
    </row>
    <row r="233" spans="1:9" ht="36" x14ac:dyDescent="0.35">
      <c r="A233" s="461"/>
      <c r="B233" s="285" t="s">
        <v>57</v>
      </c>
      <c r="C233" s="272" t="s">
        <v>83</v>
      </c>
      <c r="D233" s="273" t="s">
        <v>91</v>
      </c>
      <c r="E233" s="273" t="s">
        <v>39</v>
      </c>
      <c r="F233" s="274" t="s">
        <v>498</v>
      </c>
      <c r="G233" s="42" t="s">
        <v>58</v>
      </c>
      <c r="H233" s="287">
        <f>'прил10 (ведом 23-24)'!M373</f>
        <v>571.6</v>
      </c>
      <c r="I233" s="287">
        <f>'прил10 (ведом 23-24)'!N373</f>
        <v>0</v>
      </c>
    </row>
    <row r="234" spans="1:9" ht="45" customHeight="1" x14ac:dyDescent="0.35">
      <c r="A234" s="461"/>
      <c r="B234" s="285" t="s">
        <v>78</v>
      </c>
      <c r="C234" s="272" t="s">
        <v>83</v>
      </c>
      <c r="D234" s="273" t="s">
        <v>91</v>
      </c>
      <c r="E234" s="273" t="s">
        <v>39</v>
      </c>
      <c r="F234" s="274" t="s">
        <v>498</v>
      </c>
      <c r="G234" s="42" t="s">
        <v>79</v>
      </c>
      <c r="H234" s="287">
        <f>'прил10 (ведом 23-24)'!M302</f>
        <v>628.29999999999995</v>
      </c>
      <c r="I234" s="287">
        <f>'прил10 (ведом 23-24)'!N302</f>
        <v>0</v>
      </c>
    </row>
    <row r="235" spans="1:9" ht="54.75" customHeight="1" x14ac:dyDescent="0.35">
      <c r="A235" s="461"/>
      <c r="B235" s="499" t="s">
        <v>128</v>
      </c>
      <c r="C235" s="272" t="s">
        <v>83</v>
      </c>
      <c r="D235" s="273" t="s">
        <v>91</v>
      </c>
      <c r="E235" s="273" t="s">
        <v>41</v>
      </c>
      <c r="F235" s="274" t="s">
        <v>46</v>
      </c>
      <c r="G235" s="42"/>
      <c r="H235" s="287">
        <f>H236</f>
        <v>443.6</v>
      </c>
      <c r="I235" s="287">
        <f>I236</f>
        <v>443.6</v>
      </c>
    </row>
    <row r="236" spans="1:9" ht="36.75" customHeight="1" x14ac:dyDescent="0.35">
      <c r="A236" s="461"/>
      <c r="B236" s="499" t="s">
        <v>129</v>
      </c>
      <c r="C236" s="272" t="s">
        <v>83</v>
      </c>
      <c r="D236" s="273" t="s">
        <v>91</v>
      </c>
      <c r="E236" s="273" t="s">
        <v>41</v>
      </c>
      <c r="F236" s="274" t="s">
        <v>92</v>
      </c>
      <c r="G236" s="42"/>
      <c r="H236" s="287">
        <f>H237</f>
        <v>443.6</v>
      </c>
      <c r="I236" s="287">
        <f>I237</f>
        <v>443.6</v>
      </c>
    </row>
    <row r="237" spans="1:9" ht="32.25" customHeight="1" x14ac:dyDescent="0.35">
      <c r="A237" s="461"/>
      <c r="B237" s="285" t="s">
        <v>57</v>
      </c>
      <c r="C237" s="272" t="s">
        <v>83</v>
      </c>
      <c r="D237" s="273" t="s">
        <v>91</v>
      </c>
      <c r="E237" s="273" t="s">
        <v>41</v>
      </c>
      <c r="F237" s="274" t="s">
        <v>92</v>
      </c>
      <c r="G237" s="42" t="s">
        <v>58</v>
      </c>
      <c r="H237" s="287">
        <f>'прил10 (ведом 23-24)'!M100</f>
        <v>443.6</v>
      </c>
      <c r="I237" s="287">
        <f>'прил10 (ведом 23-24)'!N100</f>
        <v>443.6</v>
      </c>
    </row>
    <row r="238" spans="1:9" ht="54" x14ac:dyDescent="0.35">
      <c r="A238" s="461"/>
      <c r="B238" s="500" t="s">
        <v>377</v>
      </c>
      <c r="C238" s="272" t="s">
        <v>83</v>
      </c>
      <c r="D238" s="273" t="s">
        <v>32</v>
      </c>
      <c r="E238" s="273" t="s">
        <v>45</v>
      </c>
      <c r="F238" s="274" t="s">
        <v>46</v>
      </c>
      <c r="G238" s="42"/>
      <c r="H238" s="287">
        <f>H239</f>
        <v>11008.6</v>
      </c>
      <c r="I238" s="287">
        <f>I239</f>
        <v>11009</v>
      </c>
    </row>
    <row r="239" spans="1:9" ht="74.400000000000006" customHeight="1" x14ac:dyDescent="0.35">
      <c r="A239" s="461"/>
      <c r="B239" s="501" t="s">
        <v>327</v>
      </c>
      <c r="C239" s="272" t="s">
        <v>83</v>
      </c>
      <c r="D239" s="273" t="s">
        <v>32</v>
      </c>
      <c r="E239" s="273" t="s">
        <v>39</v>
      </c>
      <c r="F239" s="274" t="s">
        <v>46</v>
      </c>
      <c r="G239" s="42"/>
      <c r="H239" s="287">
        <f>H240</f>
        <v>11008.6</v>
      </c>
      <c r="I239" s="287">
        <f>I240</f>
        <v>11009</v>
      </c>
    </row>
    <row r="240" spans="1:9" ht="36" x14ac:dyDescent="0.35">
      <c r="A240" s="461"/>
      <c r="B240" s="472" t="s">
        <v>540</v>
      </c>
      <c r="C240" s="272" t="s">
        <v>83</v>
      </c>
      <c r="D240" s="273" t="s">
        <v>32</v>
      </c>
      <c r="E240" s="273" t="s">
        <v>39</v>
      </c>
      <c r="F240" s="274" t="s">
        <v>93</v>
      </c>
      <c r="G240" s="42"/>
      <c r="H240" s="287">
        <f>SUM(H241:H243)</f>
        <v>11008.6</v>
      </c>
      <c r="I240" s="287">
        <f>SUM(I241:I243)</f>
        <v>11009</v>
      </c>
    </row>
    <row r="241" spans="1:9" s="471" customFormat="1" ht="90" x14ac:dyDescent="0.35">
      <c r="A241" s="461"/>
      <c r="B241" s="472" t="s">
        <v>51</v>
      </c>
      <c r="C241" s="272" t="s">
        <v>83</v>
      </c>
      <c r="D241" s="273" t="s">
        <v>32</v>
      </c>
      <c r="E241" s="273" t="s">
        <v>39</v>
      </c>
      <c r="F241" s="274" t="s">
        <v>93</v>
      </c>
      <c r="G241" s="42" t="s">
        <v>52</v>
      </c>
      <c r="H241" s="287">
        <f>'прил10 (ведом 23-24)'!M104</f>
        <v>10645.2</v>
      </c>
      <c r="I241" s="287">
        <f>'прил10 (ведом 23-24)'!N104</f>
        <v>10645.2</v>
      </c>
    </row>
    <row r="242" spans="1:9" ht="36" x14ac:dyDescent="0.35">
      <c r="A242" s="461"/>
      <c r="B242" s="472" t="s">
        <v>57</v>
      </c>
      <c r="C242" s="272" t="s">
        <v>83</v>
      </c>
      <c r="D242" s="273" t="s">
        <v>32</v>
      </c>
      <c r="E242" s="273" t="s">
        <v>39</v>
      </c>
      <c r="F242" s="274" t="s">
        <v>93</v>
      </c>
      <c r="G242" s="42" t="s">
        <v>58</v>
      </c>
      <c r="H242" s="287">
        <f>'прил10 (ведом 23-24)'!M105</f>
        <v>357.1</v>
      </c>
      <c r="I242" s="287">
        <f>'прил10 (ведом 23-24)'!N105</f>
        <v>357.5</v>
      </c>
    </row>
    <row r="243" spans="1:9" ht="18" x14ac:dyDescent="0.35">
      <c r="A243" s="461"/>
      <c r="B243" s="285" t="s">
        <v>59</v>
      </c>
      <c r="C243" s="272" t="s">
        <v>83</v>
      </c>
      <c r="D243" s="273" t="s">
        <v>32</v>
      </c>
      <c r="E243" s="273" t="s">
        <v>39</v>
      </c>
      <c r="F243" s="274" t="s">
        <v>93</v>
      </c>
      <c r="G243" s="42" t="s">
        <v>60</v>
      </c>
      <c r="H243" s="287">
        <f>'прил10 (ведом 23-24)'!M106</f>
        <v>6.3</v>
      </c>
      <c r="I243" s="287">
        <f>'прил10 (ведом 23-24)'!N106</f>
        <v>6.3</v>
      </c>
    </row>
    <row r="244" spans="1:9" ht="54" x14ac:dyDescent="0.35">
      <c r="A244" s="461"/>
      <c r="B244" s="502" t="s">
        <v>579</v>
      </c>
      <c r="C244" s="272" t="s">
        <v>83</v>
      </c>
      <c r="D244" s="273" t="s">
        <v>33</v>
      </c>
      <c r="E244" s="273" t="s">
        <v>45</v>
      </c>
      <c r="F244" s="274" t="s">
        <v>46</v>
      </c>
      <c r="G244" s="42"/>
      <c r="H244" s="287">
        <f t="shared" ref="H244:I246" si="5">H245</f>
        <v>21.8</v>
      </c>
      <c r="I244" s="287">
        <f t="shared" si="5"/>
        <v>21.8</v>
      </c>
    </row>
    <row r="245" spans="1:9" ht="54" x14ac:dyDescent="0.35">
      <c r="A245" s="461"/>
      <c r="B245" s="503" t="s">
        <v>580</v>
      </c>
      <c r="C245" s="272" t="s">
        <v>83</v>
      </c>
      <c r="D245" s="273" t="s">
        <v>33</v>
      </c>
      <c r="E245" s="273" t="s">
        <v>39</v>
      </c>
      <c r="F245" s="274" t="s">
        <v>46</v>
      </c>
      <c r="G245" s="42"/>
      <c r="H245" s="287">
        <f t="shared" si="5"/>
        <v>21.8</v>
      </c>
      <c r="I245" s="287">
        <f t="shared" si="5"/>
        <v>21.8</v>
      </c>
    </row>
    <row r="246" spans="1:9" ht="36" x14ac:dyDescent="0.35">
      <c r="A246" s="461"/>
      <c r="B246" s="504" t="s">
        <v>87</v>
      </c>
      <c r="C246" s="272" t="s">
        <v>83</v>
      </c>
      <c r="D246" s="273" t="s">
        <v>33</v>
      </c>
      <c r="E246" s="273" t="s">
        <v>39</v>
      </c>
      <c r="F246" s="274" t="s">
        <v>88</v>
      </c>
      <c r="G246" s="42"/>
      <c r="H246" s="287">
        <f t="shared" si="5"/>
        <v>21.8</v>
      </c>
      <c r="I246" s="287">
        <f t="shared" si="5"/>
        <v>21.8</v>
      </c>
    </row>
    <row r="247" spans="1:9" ht="36" x14ac:dyDescent="0.35">
      <c r="A247" s="461"/>
      <c r="B247" s="505" t="s">
        <v>57</v>
      </c>
      <c r="C247" s="272" t="s">
        <v>83</v>
      </c>
      <c r="D247" s="273" t="s">
        <v>33</v>
      </c>
      <c r="E247" s="273" t="s">
        <v>39</v>
      </c>
      <c r="F247" s="274" t="s">
        <v>88</v>
      </c>
      <c r="G247" s="42" t="s">
        <v>58</v>
      </c>
      <c r="H247" s="287">
        <f>'прил10 (ведом 23-24)'!M110</f>
        <v>21.8</v>
      </c>
      <c r="I247" s="287">
        <f>'прил10 (ведом 23-24)'!N110</f>
        <v>21.8</v>
      </c>
    </row>
    <row r="248" spans="1:9" ht="18" x14ac:dyDescent="0.35">
      <c r="A248" s="506"/>
      <c r="B248" s="478"/>
      <c r="C248" s="507"/>
      <c r="D248" s="635"/>
      <c r="E248" s="635"/>
      <c r="F248" s="636"/>
      <c r="G248" s="312"/>
      <c r="H248" s="287"/>
      <c r="I248" s="287"/>
    </row>
    <row r="249" spans="1:9" s="471" customFormat="1" ht="52.2" x14ac:dyDescent="0.3">
      <c r="A249" s="481">
        <v>6</v>
      </c>
      <c r="B249" s="492" t="s">
        <v>225</v>
      </c>
      <c r="C249" s="468" t="s">
        <v>226</v>
      </c>
      <c r="D249" s="468" t="s">
        <v>44</v>
      </c>
      <c r="E249" s="468" t="s">
        <v>45</v>
      </c>
      <c r="F249" s="469" t="s">
        <v>46</v>
      </c>
      <c r="G249" s="470"/>
      <c r="H249" s="337">
        <f>H250</f>
        <v>35633.799999999996</v>
      </c>
      <c r="I249" s="337">
        <f>I250</f>
        <v>35625.999999999993</v>
      </c>
    </row>
    <row r="250" spans="1:9" ht="27" customHeight="1" x14ac:dyDescent="0.35">
      <c r="A250" s="461"/>
      <c r="B250" s="472" t="s">
        <v>345</v>
      </c>
      <c r="C250" s="508" t="s">
        <v>226</v>
      </c>
      <c r="D250" s="509" t="s">
        <v>47</v>
      </c>
      <c r="E250" s="273" t="s">
        <v>45</v>
      </c>
      <c r="F250" s="274" t="s">
        <v>46</v>
      </c>
      <c r="G250" s="42"/>
      <c r="H250" s="287">
        <f>H251+H256+H259+H262</f>
        <v>35633.799999999996</v>
      </c>
      <c r="I250" s="287">
        <f>I251+I256+I259+I262</f>
        <v>35625.999999999993</v>
      </c>
    </row>
    <row r="251" spans="1:9" ht="40.799999999999997" customHeight="1" x14ac:dyDescent="0.35">
      <c r="A251" s="461"/>
      <c r="B251" s="472" t="s">
        <v>306</v>
      </c>
      <c r="C251" s="508" t="s">
        <v>226</v>
      </c>
      <c r="D251" s="509" t="s">
        <v>47</v>
      </c>
      <c r="E251" s="273" t="s">
        <v>39</v>
      </c>
      <c r="F251" s="274" t="s">
        <v>46</v>
      </c>
      <c r="G251" s="42"/>
      <c r="H251" s="287">
        <f>H252</f>
        <v>25791.5</v>
      </c>
      <c r="I251" s="287">
        <f>I252</f>
        <v>25792.2</v>
      </c>
    </row>
    <row r="252" spans="1:9" ht="36" x14ac:dyDescent="0.35">
      <c r="A252" s="461"/>
      <c r="B252" s="472" t="s">
        <v>49</v>
      </c>
      <c r="C252" s="508" t="s">
        <v>226</v>
      </c>
      <c r="D252" s="509" t="s">
        <v>47</v>
      </c>
      <c r="E252" s="273" t="s">
        <v>39</v>
      </c>
      <c r="F252" s="274" t="s">
        <v>50</v>
      </c>
      <c r="G252" s="42"/>
      <c r="H252" s="287">
        <f>SUM(H253:H255)</f>
        <v>25791.5</v>
      </c>
      <c r="I252" s="287">
        <f>SUM(I253:I255)</f>
        <v>25792.2</v>
      </c>
    </row>
    <row r="253" spans="1:9" ht="90" x14ac:dyDescent="0.35">
      <c r="A253" s="461"/>
      <c r="B253" s="472" t="s">
        <v>51</v>
      </c>
      <c r="C253" s="508" t="s">
        <v>226</v>
      </c>
      <c r="D253" s="509" t="s">
        <v>47</v>
      </c>
      <c r="E253" s="273" t="s">
        <v>39</v>
      </c>
      <c r="F253" s="274" t="s">
        <v>50</v>
      </c>
      <c r="G253" s="42" t="s">
        <v>52</v>
      </c>
      <c r="H253" s="287">
        <f>'прил10 (ведом 23-24)'!M179</f>
        <v>25067.7</v>
      </c>
      <c r="I253" s="287">
        <f>'прил10 (ведом 23-24)'!N179</f>
        <v>25067.7</v>
      </c>
    </row>
    <row r="254" spans="1:9" ht="36" x14ac:dyDescent="0.35">
      <c r="A254" s="461"/>
      <c r="B254" s="285" t="s">
        <v>57</v>
      </c>
      <c r="C254" s="508" t="s">
        <v>226</v>
      </c>
      <c r="D254" s="509" t="s">
        <v>47</v>
      </c>
      <c r="E254" s="273" t="s">
        <v>39</v>
      </c>
      <c r="F254" s="274" t="s">
        <v>50</v>
      </c>
      <c r="G254" s="42" t="s">
        <v>58</v>
      </c>
      <c r="H254" s="287">
        <f>'прил10 (ведом 23-24)'!M180</f>
        <v>719.1</v>
      </c>
      <c r="I254" s="287">
        <f>'прил10 (ведом 23-24)'!N180</f>
        <v>719.9</v>
      </c>
    </row>
    <row r="255" spans="1:9" ht="18" x14ac:dyDescent="0.35">
      <c r="A255" s="461"/>
      <c r="B255" s="285" t="s">
        <v>59</v>
      </c>
      <c r="C255" s="508" t="s">
        <v>226</v>
      </c>
      <c r="D255" s="509" t="s">
        <v>47</v>
      </c>
      <c r="E255" s="273" t="s">
        <v>39</v>
      </c>
      <c r="F255" s="274" t="s">
        <v>50</v>
      </c>
      <c r="G255" s="42" t="s">
        <v>60</v>
      </c>
      <c r="H255" s="287">
        <f>'прил10 (ведом 23-24)'!M181</f>
        <v>4.7</v>
      </c>
      <c r="I255" s="287">
        <f>'прил10 (ведом 23-24)'!N181</f>
        <v>4.5999999999999996</v>
      </c>
    </row>
    <row r="256" spans="1:9" ht="30" customHeight="1" x14ac:dyDescent="0.35">
      <c r="A256" s="461"/>
      <c r="B256" s="472" t="s">
        <v>307</v>
      </c>
      <c r="C256" s="508" t="s">
        <v>226</v>
      </c>
      <c r="D256" s="509" t="s">
        <v>47</v>
      </c>
      <c r="E256" s="273" t="s">
        <v>41</v>
      </c>
      <c r="F256" s="274" t="s">
        <v>46</v>
      </c>
      <c r="G256" s="42"/>
      <c r="H256" s="287">
        <f>H257</f>
        <v>7000</v>
      </c>
      <c r="I256" s="287">
        <f>I257</f>
        <v>7000</v>
      </c>
    </row>
    <row r="257" spans="1:9" ht="36" x14ac:dyDescent="0.35">
      <c r="A257" s="461"/>
      <c r="B257" s="285" t="s">
        <v>260</v>
      </c>
      <c r="C257" s="508" t="s">
        <v>226</v>
      </c>
      <c r="D257" s="509" t="s">
        <v>47</v>
      </c>
      <c r="E257" s="273" t="s">
        <v>41</v>
      </c>
      <c r="F257" s="274" t="s">
        <v>468</v>
      </c>
      <c r="G257" s="42"/>
      <c r="H257" s="287">
        <f>H258</f>
        <v>7000</v>
      </c>
      <c r="I257" s="287">
        <f>I258</f>
        <v>7000</v>
      </c>
    </row>
    <row r="258" spans="1:9" ht="18" x14ac:dyDescent="0.35">
      <c r="A258" s="461"/>
      <c r="B258" s="285" t="s">
        <v>125</v>
      </c>
      <c r="C258" s="508" t="s">
        <v>226</v>
      </c>
      <c r="D258" s="509" t="s">
        <v>47</v>
      </c>
      <c r="E258" s="273" t="s">
        <v>41</v>
      </c>
      <c r="F258" s="274" t="s">
        <v>468</v>
      </c>
      <c r="G258" s="42" t="s">
        <v>126</v>
      </c>
      <c r="H258" s="287">
        <f>'прил10 (ведом 23-24)'!M197</f>
        <v>7000</v>
      </c>
      <c r="I258" s="287">
        <f>'прил10 (ведом 23-24)'!N197</f>
        <v>7000</v>
      </c>
    </row>
    <row r="259" spans="1:9" ht="36" x14ac:dyDescent="0.35">
      <c r="A259" s="461"/>
      <c r="B259" s="472" t="s">
        <v>360</v>
      </c>
      <c r="C259" s="508" t="s">
        <v>226</v>
      </c>
      <c r="D259" s="509" t="s">
        <v>47</v>
      </c>
      <c r="E259" s="273" t="s">
        <v>65</v>
      </c>
      <c r="F259" s="274" t="s">
        <v>46</v>
      </c>
      <c r="G259" s="42"/>
      <c r="H259" s="287">
        <f>H260</f>
        <v>2825.1</v>
      </c>
      <c r="I259" s="287">
        <f>I260</f>
        <v>2816.6</v>
      </c>
    </row>
    <row r="260" spans="1:9" ht="54" x14ac:dyDescent="0.35">
      <c r="A260" s="461"/>
      <c r="B260" s="472" t="s">
        <v>361</v>
      </c>
      <c r="C260" s="508" t="s">
        <v>226</v>
      </c>
      <c r="D260" s="509" t="s">
        <v>47</v>
      </c>
      <c r="E260" s="273" t="s">
        <v>65</v>
      </c>
      <c r="F260" s="274" t="s">
        <v>107</v>
      </c>
      <c r="G260" s="42"/>
      <c r="H260" s="287">
        <f>H261</f>
        <v>2825.1</v>
      </c>
      <c r="I260" s="287">
        <f>I261</f>
        <v>2816.6</v>
      </c>
    </row>
    <row r="261" spans="1:9" ht="36" x14ac:dyDescent="0.35">
      <c r="A261" s="461"/>
      <c r="B261" s="472" t="s">
        <v>57</v>
      </c>
      <c r="C261" s="508" t="s">
        <v>226</v>
      </c>
      <c r="D261" s="509" t="s">
        <v>47</v>
      </c>
      <c r="E261" s="273" t="s">
        <v>65</v>
      </c>
      <c r="F261" s="274" t="s">
        <v>107</v>
      </c>
      <c r="G261" s="42" t="s">
        <v>58</v>
      </c>
      <c r="H261" s="287">
        <f>'прил10 (ведом 23-24)'!M187</f>
        <v>2825.1</v>
      </c>
      <c r="I261" s="287">
        <f>'прил10 (ведом 23-24)'!N187</f>
        <v>2816.6</v>
      </c>
    </row>
    <row r="262" spans="1:9" ht="36" x14ac:dyDescent="0.35">
      <c r="A262" s="461"/>
      <c r="B262" s="285" t="s">
        <v>544</v>
      </c>
      <c r="C262" s="508" t="s">
        <v>226</v>
      </c>
      <c r="D262" s="509" t="s">
        <v>47</v>
      </c>
      <c r="E262" s="273" t="s">
        <v>67</v>
      </c>
      <c r="F262" s="274" t="s">
        <v>46</v>
      </c>
      <c r="G262" s="42"/>
      <c r="H262" s="287">
        <f>H263</f>
        <v>17.2</v>
      </c>
      <c r="I262" s="287">
        <f>I263</f>
        <v>17.2</v>
      </c>
    </row>
    <row r="263" spans="1:9" ht="18" x14ac:dyDescent="0.35">
      <c r="A263" s="461"/>
      <c r="B263" s="285" t="s">
        <v>542</v>
      </c>
      <c r="C263" s="508" t="s">
        <v>226</v>
      </c>
      <c r="D263" s="509" t="s">
        <v>47</v>
      </c>
      <c r="E263" s="273" t="s">
        <v>67</v>
      </c>
      <c r="F263" s="274" t="s">
        <v>543</v>
      </c>
      <c r="G263" s="42"/>
      <c r="H263" s="287">
        <f>H264</f>
        <v>17.2</v>
      </c>
      <c r="I263" s="287">
        <f>I264</f>
        <v>17.2</v>
      </c>
    </row>
    <row r="264" spans="1:9" ht="36" x14ac:dyDescent="0.35">
      <c r="A264" s="461"/>
      <c r="B264" s="285" t="s">
        <v>57</v>
      </c>
      <c r="C264" s="508" t="s">
        <v>226</v>
      </c>
      <c r="D264" s="509" t="s">
        <v>47</v>
      </c>
      <c r="E264" s="273" t="s">
        <v>67</v>
      </c>
      <c r="F264" s="274" t="s">
        <v>543</v>
      </c>
      <c r="G264" s="42" t="s">
        <v>58</v>
      </c>
      <c r="H264" s="287">
        <f>'прил10 (ведом 23-24)'!M190</f>
        <v>17.2</v>
      </c>
      <c r="I264" s="287">
        <f>'прил10 (ведом 23-24)'!N190</f>
        <v>17.2</v>
      </c>
    </row>
    <row r="265" spans="1:9" ht="18" x14ac:dyDescent="0.35">
      <c r="A265" s="461"/>
      <c r="B265" s="285"/>
      <c r="C265" s="509"/>
      <c r="D265" s="509"/>
      <c r="E265" s="509"/>
      <c r="F265" s="510"/>
      <c r="G265" s="42"/>
      <c r="H265" s="287"/>
      <c r="I265" s="287"/>
    </row>
    <row r="266" spans="1:9" s="471" customFormat="1" ht="52.2" x14ac:dyDescent="0.3">
      <c r="A266" s="467">
        <v>7</v>
      </c>
      <c r="B266" s="511" t="s">
        <v>227</v>
      </c>
      <c r="C266" s="512" t="s">
        <v>228</v>
      </c>
      <c r="D266" s="482" t="s">
        <v>44</v>
      </c>
      <c r="E266" s="482" t="s">
        <v>45</v>
      </c>
      <c r="F266" s="483" t="s">
        <v>46</v>
      </c>
      <c r="G266" s="513"/>
      <c r="H266" s="337">
        <f>H267+H271</f>
        <v>20561.899999999998</v>
      </c>
      <c r="I266" s="337">
        <f>I267+I271</f>
        <v>22293.899999999998</v>
      </c>
    </row>
    <row r="267" spans="1:9" s="471" customFormat="1" ht="36" x14ac:dyDescent="0.35">
      <c r="A267" s="467"/>
      <c r="B267" s="493" t="s">
        <v>229</v>
      </c>
      <c r="C267" s="514" t="s">
        <v>228</v>
      </c>
      <c r="D267" s="515" t="s">
        <v>47</v>
      </c>
      <c r="E267" s="515" t="s">
        <v>45</v>
      </c>
      <c r="F267" s="516" t="s">
        <v>46</v>
      </c>
      <c r="G267" s="476"/>
      <c r="H267" s="287">
        <f t="shared" ref="H267:I269" si="6">H268</f>
        <v>0</v>
      </c>
      <c r="I267" s="287">
        <f t="shared" si="6"/>
        <v>606.9</v>
      </c>
    </row>
    <row r="268" spans="1:9" s="471" customFormat="1" ht="36" x14ac:dyDescent="0.35">
      <c r="A268" s="467"/>
      <c r="B268" s="517" t="s">
        <v>344</v>
      </c>
      <c r="C268" s="473" t="s">
        <v>228</v>
      </c>
      <c r="D268" s="474" t="s">
        <v>47</v>
      </c>
      <c r="E268" s="474" t="s">
        <v>41</v>
      </c>
      <c r="F268" s="518" t="s">
        <v>46</v>
      </c>
      <c r="G268" s="476"/>
      <c r="H268" s="287">
        <f>H269</f>
        <v>0</v>
      </c>
      <c r="I268" s="287">
        <f>I269</f>
        <v>606.9</v>
      </c>
    </row>
    <row r="269" spans="1:9" s="471" customFormat="1" ht="36" x14ac:dyDescent="0.35">
      <c r="A269" s="467"/>
      <c r="B269" s="517" t="s">
        <v>343</v>
      </c>
      <c r="C269" s="473" t="s">
        <v>228</v>
      </c>
      <c r="D269" s="474" t="s">
        <v>47</v>
      </c>
      <c r="E269" s="474" t="s">
        <v>41</v>
      </c>
      <c r="F269" s="518" t="s">
        <v>342</v>
      </c>
      <c r="G269" s="476"/>
      <c r="H269" s="287">
        <f t="shared" si="6"/>
        <v>0</v>
      </c>
      <c r="I269" s="287">
        <f t="shared" si="6"/>
        <v>606.9</v>
      </c>
    </row>
    <row r="270" spans="1:9" s="471" customFormat="1" ht="36" x14ac:dyDescent="0.35">
      <c r="A270" s="467"/>
      <c r="B270" s="517" t="s">
        <v>57</v>
      </c>
      <c r="C270" s="473" t="s">
        <v>228</v>
      </c>
      <c r="D270" s="474" t="s">
        <v>47</v>
      </c>
      <c r="E270" s="474" t="s">
        <v>41</v>
      </c>
      <c r="F270" s="518" t="s">
        <v>342</v>
      </c>
      <c r="G270" s="476" t="s">
        <v>58</v>
      </c>
      <c r="H270" s="287">
        <f>'прил10 (ведом 23-24)'!M216</f>
        <v>0</v>
      </c>
      <c r="I270" s="287">
        <f>'прил10 (ведом 23-24)'!N216</f>
        <v>606.9</v>
      </c>
    </row>
    <row r="271" spans="1:9" ht="36" x14ac:dyDescent="0.35">
      <c r="A271" s="506"/>
      <c r="B271" s="519" t="s">
        <v>231</v>
      </c>
      <c r="C271" s="486" t="s">
        <v>228</v>
      </c>
      <c r="D271" s="507" t="s">
        <v>91</v>
      </c>
      <c r="E271" s="507" t="s">
        <v>45</v>
      </c>
      <c r="F271" s="520" t="s">
        <v>46</v>
      </c>
      <c r="G271" s="521"/>
      <c r="H271" s="287">
        <f>H272+H283+H286</f>
        <v>20561.899999999998</v>
      </c>
      <c r="I271" s="287">
        <f>I272+I283+I286</f>
        <v>21686.999999999996</v>
      </c>
    </row>
    <row r="272" spans="1:9" ht="72" x14ac:dyDescent="0.35">
      <c r="A272" s="506"/>
      <c r="B272" s="519" t="s">
        <v>304</v>
      </c>
      <c r="C272" s="486" t="s">
        <v>228</v>
      </c>
      <c r="D272" s="507" t="s">
        <v>91</v>
      </c>
      <c r="E272" s="507" t="s">
        <v>39</v>
      </c>
      <c r="F272" s="520" t="s">
        <v>46</v>
      </c>
      <c r="G272" s="521"/>
      <c r="H272" s="287">
        <f>H273+H277+H281</f>
        <v>20547.099999999999</v>
      </c>
      <c r="I272" s="287">
        <f>I273+I277+I281</f>
        <v>20994.6</v>
      </c>
    </row>
    <row r="273" spans="1:9" ht="36" x14ac:dyDescent="0.35">
      <c r="A273" s="506"/>
      <c r="B273" s="519" t="s">
        <v>49</v>
      </c>
      <c r="C273" s="522" t="s">
        <v>228</v>
      </c>
      <c r="D273" s="523" t="s">
        <v>91</v>
      </c>
      <c r="E273" s="523" t="s">
        <v>39</v>
      </c>
      <c r="F273" s="524" t="s">
        <v>50</v>
      </c>
      <c r="G273" s="521"/>
      <c r="H273" s="287">
        <f>SUM(H274:H276)</f>
        <v>13047</v>
      </c>
      <c r="I273" s="287">
        <f>SUM(I274:I276)</f>
        <v>13269.7</v>
      </c>
    </row>
    <row r="274" spans="1:9" ht="90" x14ac:dyDescent="0.35">
      <c r="A274" s="506"/>
      <c r="B274" s="519" t="s">
        <v>51</v>
      </c>
      <c r="C274" s="486" t="s">
        <v>228</v>
      </c>
      <c r="D274" s="507" t="s">
        <v>91</v>
      </c>
      <c r="E274" s="507" t="s">
        <v>39</v>
      </c>
      <c r="F274" s="520" t="s">
        <v>50</v>
      </c>
      <c r="G274" s="521" t="s">
        <v>52</v>
      </c>
      <c r="H274" s="287">
        <f>'прил10 (ведом 23-24)'!M220</f>
        <v>12941.5</v>
      </c>
      <c r="I274" s="287">
        <f>'прил10 (ведом 23-24)'!N220</f>
        <v>12941.5</v>
      </c>
    </row>
    <row r="275" spans="1:9" ht="36" x14ac:dyDescent="0.35">
      <c r="A275" s="506"/>
      <c r="B275" s="517" t="s">
        <v>57</v>
      </c>
      <c r="C275" s="525" t="s">
        <v>228</v>
      </c>
      <c r="D275" s="474" t="s">
        <v>91</v>
      </c>
      <c r="E275" s="474" t="s">
        <v>39</v>
      </c>
      <c r="F275" s="518" t="s">
        <v>50</v>
      </c>
      <c r="G275" s="476" t="s">
        <v>58</v>
      </c>
      <c r="H275" s="287">
        <f>'прил10 (ведом 23-24)'!M221</f>
        <v>104.3</v>
      </c>
      <c r="I275" s="287">
        <f>'прил10 (ведом 23-24)'!N221</f>
        <v>327</v>
      </c>
    </row>
    <row r="276" spans="1:9" ht="18" x14ac:dyDescent="0.35">
      <c r="A276" s="506"/>
      <c r="B276" s="493" t="s">
        <v>59</v>
      </c>
      <c r="C276" s="525" t="s">
        <v>228</v>
      </c>
      <c r="D276" s="474" t="s">
        <v>91</v>
      </c>
      <c r="E276" s="474" t="s">
        <v>39</v>
      </c>
      <c r="F276" s="518" t="s">
        <v>50</v>
      </c>
      <c r="G276" s="476" t="s">
        <v>60</v>
      </c>
      <c r="H276" s="287">
        <f>'прил10 (ведом 23-24)'!M222</f>
        <v>1.2</v>
      </c>
      <c r="I276" s="287">
        <f>'прил10 (ведом 23-24)'!N222</f>
        <v>1.2</v>
      </c>
    </row>
    <row r="277" spans="1:9" ht="36" x14ac:dyDescent="0.35">
      <c r="A277" s="506"/>
      <c r="B277" s="472" t="s">
        <v>540</v>
      </c>
      <c r="C277" s="486" t="s">
        <v>228</v>
      </c>
      <c r="D277" s="507" t="s">
        <v>91</v>
      </c>
      <c r="E277" s="507" t="s">
        <v>39</v>
      </c>
      <c r="F277" s="520" t="s">
        <v>93</v>
      </c>
      <c r="G277" s="521"/>
      <c r="H277" s="287">
        <f>SUM(H278:H280)</f>
        <v>7431.0999999999995</v>
      </c>
      <c r="I277" s="287">
        <f>SUM(I278:I280)</f>
        <v>7655.9</v>
      </c>
    </row>
    <row r="278" spans="1:9" ht="90" x14ac:dyDescent="0.35">
      <c r="A278" s="506"/>
      <c r="B278" s="519" t="s">
        <v>51</v>
      </c>
      <c r="C278" s="486" t="s">
        <v>228</v>
      </c>
      <c r="D278" s="507" t="s">
        <v>91</v>
      </c>
      <c r="E278" s="507" t="s">
        <v>39</v>
      </c>
      <c r="F278" s="520" t="s">
        <v>93</v>
      </c>
      <c r="G278" s="521" t="s">
        <v>52</v>
      </c>
      <c r="H278" s="287">
        <f>'прил10 (ведом 23-24)'!M224</f>
        <v>7312.7</v>
      </c>
      <c r="I278" s="287">
        <f>'прил10 (ведом 23-24)'!N224</f>
        <v>7312.7</v>
      </c>
    </row>
    <row r="279" spans="1:9" ht="36" x14ac:dyDescent="0.35">
      <c r="A279" s="506"/>
      <c r="B279" s="285" t="s">
        <v>57</v>
      </c>
      <c r="C279" s="522" t="s">
        <v>228</v>
      </c>
      <c r="D279" s="523" t="s">
        <v>91</v>
      </c>
      <c r="E279" s="523" t="s">
        <v>39</v>
      </c>
      <c r="F279" s="524" t="s">
        <v>93</v>
      </c>
      <c r="G279" s="521" t="s">
        <v>58</v>
      </c>
      <c r="H279" s="287">
        <f>'прил10 (ведом 23-24)'!M225</f>
        <v>98.9</v>
      </c>
      <c r="I279" s="287">
        <f>'прил10 (ведом 23-24)'!N225</f>
        <v>324.5</v>
      </c>
    </row>
    <row r="280" spans="1:9" ht="18" x14ac:dyDescent="0.35">
      <c r="A280" s="506"/>
      <c r="B280" s="526" t="s">
        <v>59</v>
      </c>
      <c r="C280" s="486" t="s">
        <v>228</v>
      </c>
      <c r="D280" s="507" t="s">
        <v>91</v>
      </c>
      <c r="E280" s="507" t="s">
        <v>39</v>
      </c>
      <c r="F280" s="520" t="s">
        <v>93</v>
      </c>
      <c r="G280" s="521" t="s">
        <v>60</v>
      </c>
      <c r="H280" s="287">
        <f>'прил10 (ведом 23-24)'!M226</f>
        <v>19.5</v>
      </c>
      <c r="I280" s="287">
        <f>'прил10 (ведом 23-24)'!N226</f>
        <v>18.7</v>
      </c>
    </row>
    <row r="281" spans="1:9" ht="54" x14ac:dyDescent="0.35">
      <c r="A281" s="506"/>
      <c r="B281" s="517" t="s">
        <v>363</v>
      </c>
      <c r="C281" s="525" t="s">
        <v>228</v>
      </c>
      <c r="D281" s="474" t="s">
        <v>91</v>
      </c>
      <c r="E281" s="474" t="s">
        <v>39</v>
      </c>
      <c r="F281" s="518" t="s">
        <v>362</v>
      </c>
      <c r="G281" s="476"/>
      <c r="H281" s="287">
        <f>H282</f>
        <v>69</v>
      </c>
      <c r="I281" s="287">
        <f>I282</f>
        <v>69</v>
      </c>
    </row>
    <row r="282" spans="1:9" ht="36" x14ac:dyDescent="0.35">
      <c r="A282" s="506"/>
      <c r="B282" s="517" t="s">
        <v>57</v>
      </c>
      <c r="C282" s="525" t="s">
        <v>228</v>
      </c>
      <c r="D282" s="474" t="s">
        <v>91</v>
      </c>
      <c r="E282" s="474" t="s">
        <v>39</v>
      </c>
      <c r="F282" s="527" t="s">
        <v>362</v>
      </c>
      <c r="G282" s="476" t="s">
        <v>58</v>
      </c>
      <c r="H282" s="287">
        <f>'прил10 (ведом 23-24)'!M228</f>
        <v>69</v>
      </c>
      <c r="I282" s="287">
        <f>'прил10 (ведом 23-24)'!N228</f>
        <v>69</v>
      </c>
    </row>
    <row r="283" spans="1:9" ht="36" x14ac:dyDescent="0.35">
      <c r="A283" s="506"/>
      <c r="B283" s="528" t="s">
        <v>360</v>
      </c>
      <c r="C283" s="525" t="s">
        <v>228</v>
      </c>
      <c r="D283" s="529" t="s">
        <v>91</v>
      </c>
      <c r="E283" s="529" t="s">
        <v>41</v>
      </c>
      <c r="F283" s="530" t="s">
        <v>46</v>
      </c>
      <c r="G283" s="531"/>
      <c r="H283" s="287">
        <f>H284</f>
        <v>0</v>
      </c>
      <c r="I283" s="287">
        <f>I284</f>
        <v>677.6</v>
      </c>
    </row>
    <row r="284" spans="1:9" ht="54" x14ac:dyDescent="0.35">
      <c r="A284" s="506"/>
      <c r="B284" s="532" t="s">
        <v>361</v>
      </c>
      <c r="C284" s="533" t="s">
        <v>228</v>
      </c>
      <c r="D284" s="529" t="s">
        <v>91</v>
      </c>
      <c r="E284" s="529" t="s">
        <v>41</v>
      </c>
      <c r="F284" s="530" t="s">
        <v>107</v>
      </c>
      <c r="G284" s="534"/>
      <c r="H284" s="287">
        <f>H285</f>
        <v>0</v>
      </c>
      <c r="I284" s="287">
        <f>I285</f>
        <v>677.6</v>
      </c>
    </row>
    <row r="285" spans="1:9" ht="36" x14ac:dyDescent="0.35">
      <c r="A285" s="506"/>
      <c r="B285" s="535" t="s">
        <v>57</v>
      </c>
      <c r="C285" s="533" t="s">
        <v>228</v>
      </c>
      <c r="D285" s="536" t="s">
        <v>91</v>
      </c>
      <c r="E285" s="536" t="s">
        <v>41</v>
      </c>
      <c r="F285" s="537" t="s">
        <v>107</v>
      </c>
      <c r="G285" s="538" t="s">
        <v>58</v>
      </c>
      <c r="H285" s="287">
        <f>'прил10 (ведом 23-24)'!M231</f>
        <v>0</v>
      </c>
      <c r="I285" s="287">
        <f>'прил10 (ведом 23-24)'!N231</f>
        <v>677.6</v>
      </c>
    </row>
    <row r="286" spans="1:9" ht="27" customHeight="1" x14ac:dyDescent="0.35">
      <c r="A286" s="506"/>
      <c r="B286" s="539" t="s">
        <v>385</v>
      </c>
      <c r="C286" s="533" t="s">
        <v>228</v>
      </c>
      <c r="D286" s="529" t="s">
        <v>91</v>
      </c>
      <c r="E286" s="529" t="s">
        <v>65</v>
      </c>
      <c r="F286" s="530" t="s">
        <v>46</v>
      </c>
      <c r="G286" s="534"/>
      <c r="H286" s="287">
        <f>H287</f>
        <v>14.8</v>
      </c>
      <c r="I286" s="287">
        <f>I287</f>
        <v>14.8</v>
      </c>
    </row>
    <row r="287" spans="1:9" ht="36" x14ac:dyDescent="0.35">
      <c r="A287" s="506"/>
      <c r="B287" s="539" t="s">
        <v>343</v>
      </c>
      <c r="C287" s="540" t="s">
        <v>228</v>
      </c>
      <c r="D287" s="536" t="s">
        <v>91</v>
      </c>
      <c r="E287" s="536" t="s">
        <v>65</v>
      </c>
      <c r="F287" s="537" t="s">
        <v>342</v>
      </c>
      <c r="G287" s="534"/>
      <c r="H287" s="287">
        <f>H288</f>
        <v>14.8</v>
      </c>
      <c r="I287" s="287">
        <f>I288</f>
        <v>14.8</v>
      </c>
    </row>
    <row r="288" spans="1:9" ht="18" x14ac:dyDescent="0.35">
      <c r="A288" s="506"/>
      <c r="B288" s="493" t="s">
        <v>59</v>
      </c>
      <c r="C288" s="525" t="s">
        <v>228</v>
      </c>
      <c r="D288" s="529" t="s">
        <v>91</v>
      </c>
      <c r="E288" s="529" t="s">
        <v>65</v>
      </c>
      <c r="F288" s="530" t="s">
        <v>342</v>
      </c>
      <c r="G288" s="534" t="s">
        <v>60</v>
      </c>
      <c r="H288" s="287">
        <f>'прил10 (ведом 23-24)'!M234</f>
        <v>14.8</v>
      </c>
      <c r="I288" s="287">
        <f>'прил10 (ведом 23-24)'!N234</f>
        <v>14.8</v>
      </c>
    </row>
    <row r="289" spans="1:9" ht="18" x14ac:dyDescent="0.35">
      <c r="A289" s="506"/>
      <c r="B289" s="526"/>
      <c r="C289" s="487"/>
      <c r="D289" s="507"/>
      <c r="E289" s="507"/>
      <c r="F289" s="520"/>
      <c r="G289" s="521"/>
      <c r="H289" s="287"/>
      <c r="I289" s="287"/>
    </row>
    <row r="290" spans="1:9" s="471" customFormat="1" ht="52.2" x14ac:dyDescent="0.3">
      <c r="A290" s="481">
        <v>8</v>
      </c>
      <c r="B290" s="511" t="s">
        <v>298</v>
      </c>
      <c r="C290" s="482" t="s">
        <v>81</v>
      </c>
      <c r="D290" s="482" t="s">
        <v>44</v>
      </c>
      <c r="E290" s="482" t="s">
        <v>45</v>
      </c>
      <c r="F290" s="483" t="s">
        <v>46</v>
      </c>
      <c r="G290" s="470"/>
      <c r="H290" s="337">
        <f>H291</f>
        <v>124002.59999999999</v>
      </c>
      <c r="I290" s="337">
        <f>I291</f>
        <v>125532.90000000001</v>
      </c>
    </row>
    <row r="291" spans="1:9" ht="23.25" customHeight="1" x14ac:dyDescent="0.35">
      <c r="A291" s="461"/>
      <c r="B291" s="472" t="s">
        <v>345</v>
      </c>
      <c r="C291" s="541" t="s">
        <v>81</v>
      </c>
      <c r="D291" s="507" t="s">
        <v>47</v>
      </c>
      <c r="E291" s="507" t="s">
        <v>45</v>
      </c>
      <c r="F291" s="542" t="s">
        <v>46</v>
      </c>
      <c r="G291" s="312"/>
      <c r="H291" s="287">
        <f>H292+H305+H310+H320</f>
        <v>124002.59999999999</v>
      </c>
      <c r="I291" s="287">
        <f>I292+I305+I310+I320</f>
        <v>125532.90000000001</v>
      </c>
    </row>
    <row r="292" spans="1:9" ht="36" x14ac:dyDescent="0.35">
      <c r="A292" s="461"/>
      <c r="B292" s="472" t="s">
        <v>287</v>
      </c>
      <c r="C292" s="272" t="s">
        <v>81</v>
      </c>
      <c r="D292" s="273" t="s">
        <v>47</v>
      </c>
      <c r="E292" s="273" t="s">
        <v>39</v>
      </c>
      <c r="F292" s="274" t="s">
        <v>46</v>
      </c>
      <c r="G292" s="312"/>
      <c r="H292" s="287">
        <f>H293+H296+H299+H302</f>
        <v>67603.499999999985</v>
      </c>
      <c r="I292" s="287">
        <f>I293+I296+I299+I302</f>
        <v>69133.8</v>
      </c>
    </row>
    <row r="293" spans="1:9" ht="132" customHeight="1" x14ac:dyDescent="0.35">
      <c r="A293" s="461"/>
      <c r="B293" s="616" t="s">
        <v>366</v>
      </c>
      <c r="C293" s="272" t="s">
        <v>81</v>
      </c>
      <c r="D293" s="273" t="s">
        <v>47</v>
      </c>
      <c r="E293" s="273" t="s">
        <v>39</v>
      </c>
      <c r="F293" s="274" t="s">
        <v>714</v>
      </c>
      <c r="G293" s="42"/>
      <c r="H293" s="287">
        <f>SUM(H294:H295)</f>
        <v>36785</v>
      </c>
      <c r="I293" s="287">
        <f>SUM(I294:I295)</f>
        <v>38255.5</v>
      </c>
    </row>
    <row r="294" spans="1:9" ht="36" x14ac:dyDescent="0.35">
      <c r="A294" s="461"/>
      <c r="B294" s="617" t="s">
        <v>57</v>
      </c>
      <c r="C294" s="272" t="s">
        <v>81</v>
      </c>
      <c r="D294" s="273" t="s">
        <v>47</v>
      </c>
      <c r="E294" s="273" t="s">
        <v>39</v>
      </c>
      <c r="F294" s="274" t="s">
        <v>714</v>
      </c>
      <c r="G294" s="42" t="s">
        <v>58</v>
      </c>
      <c r="H294" s="287">
        <f>'прил10 (ведом 23-24)'!M556</f>
        <v>184</v>
      </c>
      <c r="I294" s="287">
        <f>'прил10 (ведом 23-24)'!N556</f>
        <v>191.3</v>
      </c>
    </row>
    <row r="295" spans="1:9" ht="30" customHeight="1" x14ac:dyDescent="0.35">
      <c r="A295" s="461"/>
      <c r="B295" s="472" t="s">
        <v>122</v>
      </c>
      <c r="C295" s="272" t="s">
        <v>81</v>
      </c>
      <c r="D295" s="273" t="s">
        <v>47</v>
      </c>
      <c r="E295" s="273" t="s">
        <v>39</v>
      </c>
      <c r="F295" s="274" t="s">
        <v>714</v>
      </c>
      <c r="G295" s="42" t="s">
        <v>123</v>
      </c>
      <c r="H295" s="287">
        <f>'прил10 (ведом 23-24)'!M557</f>
        <v>36601</v>
      </c>
      <c r="I295" s="287">
        <f>'прил10 (ведом 23-24)'!N557</f>
        <v>38064.199999999997</v>
      </c>
    </row>
    <row r="296" spans="1:9" ht="90" x14ac:dyDescent="0.35">
      <c r="A296" s="461"/>
      <c r="B296" s="472" t="s">
        <v>368</v>
      </c>
      <c r="C296" s="272" t="s">
        <v>81</v>
      </c>
      <c r="D296" s="273" t="s">
        <v>47</v>
      </c>
      <c r="E296" s="273" t="s">
        <v>39</v>
      </c>
      <c r="F296" s="274" t="s">
        <v>716</v>
      </c>
      <c r="G296" s="42"/>
      <c r="H296" s="287">
        <f>SUM(H297:H298)</f>
        <v>1495.2</v>
      </c>
      <c r="I296" s="287">
        <f>SUM(I297:I298)</f>
        <v>1555</v>
      </c>
    </row>
    <row r="297" spans="1:9" ht="36" x14ac:dyDescent="0.35">
      <c r="A297" s="461"/>
      <c r="B297" s="472" t="s">
        <v>57</v>
      </c>
      <c r="C297" s="272" t="s">
        <v>81</v>
      </c>
      <c r="D297" s="273" t="s">
        <v>47</v>
      </c>
      <c r="E297" s="273" t="s">
        <v>39</v>
      </c>
      <c r="F297" s="274" t="s">
        <v>716</v>
      </c>
      <c r="G297" s="42" t="s">
        <v>58</v>
      </c>
      <c r="H297" s="287">
        <f>'прил10 (ведом 23-24)'!M559</f>
        <v>7.5</v>
      </c>
      <c r="I297" s="287">
        <f>'прил10 (ведом 23-24)'!N559</f>
        <v>7.8</v>
      </c>
    </row>
    <row r="298" spans="1:9" ht="26.25" customHeight="1" x14ac:dyDescent="0.35">
      <c r="A298" s="461"/>
      <c r="B298" s="472" t="s">
        <v>122</v>
      </c>
      <c r="C298" s="272" t="s">
        <v>81</v>
      </c>
      <c r="D298" s="273" t="s">
        <v>47</v>
      </c>
      <c r="E298" s="273" t="s">
        <v>39</v>
      </c>
      <c r="F298" s="274" t="s">
        <v>716</v>
      </c>
      <c r="G298" s="42" t="s">
        <v>123</v>
      </c>
      <c r="H298" s="287">
        <f>'прил10 (ведом 23-24)'!M560</f>
        <v>1487.7</v>
      </c>
      <c r="I298" s="287">
        <f>'прил10 (ведом 23-24)'!N560</f>
        <v>1547.2</v>
      </c>
    </row>
    <row r="299" spans="1:9" ht="90" x14ac:dyDescent="0.35">
      <c r="A299" s="461"/>
      <c r="B299" s="472" t="s">
        <v>367</v>
      </c>
      <c r="C299" s="272" t="s">
        <v>81</v>
      </c>
      <c r="D299" s="273" t="s">
        <v>47</v>
      </c>
      <c r="E299" s="273" t="s">
        <v>39</v>
      </c>
      <c r="F299" s="274" t="s">
        <v>715</v>
      </c>
      <c r="G299" s="42"/>
      <c r="H299" s="287">
        <f>SUM(H300:H301)</f>
        <v>27520.6</v>
      </c>
      <c r="I299" s="287">
        <f>SUM(I300:I301)</f>
        <v>27520.6</v>
      </c>
    </row>
    <row r="300" spans="1:9" ht="36" x14ac:dyDescent="0.35">
      <c r="A300" s="461"/>
      <c r="B300" s="617" t="s">
        <v>57</v>
      </c>
      <c r="C300" s="272" t="s">
        <v>81</v>
      </c>
      <c r="D300" s="273" t="s">
        <v>47</v>
      </c>
      <c r="E300" s="273" t="s">
        <v>39</v>
      </c>
      <c r="F300" s="274" t="s">
        <v>715</v>
      </c>
      <c r="G300" s="42" t="s">
        <v>58</v>
      </c>
      <c r="H300" s="287">
        <f>'прил10 (ведом 23-24)'!M562</f>
        <v>137.6</v>
      </c>
      <c r="I300" s="287">
        <f>'прил10 (ведом 23-24)'!N562</f>
        <v>137.6</v>
      </c>
    </row>
    <row r="301" spans="1:9" ht="29.25" customHeight="1" x14ac:dyDescent="0.35">
      <c r="A301" s="461"/>
      <c r="B301" s="472" t="s">
        <v>122</v>
      </c>
      <c r="C301" s="272" t="s">
        <v>81</v>
      </c>
      <c r="D301" s="273" t="s">
        <v>47</v>
      </c>
      <c r="E301" s="273" t="s">
        <v>39</v>
      </c>
      <c r="F301" s="274" t="s">
        <v>715</v>
      </c>
      <c r="G301" s="42" t="s">
        <v>123</v>
      </c>
      <c r="H301" s="287">
        <f>'прил10 (ведом 23-24)'!M563</f>
        <v>27383</v>
      </c>
      <c r="I301" s="287">
        <f>'прил10 (ведом 23-24)'!N563</f>
        <v>27383</v>
      </c>
    </row>
    <row r="302" spans="1:9" ht="108" x14ac:dyDescent="0.35">
      <c r="A302" s="461"/>
      <c r="B302" s="472" t="s">
        <v>374</v>
      </c>
      <c r="C302" s="272" t="s">
        <v>81</v>
      </c>
      <c r="D302" s="273" t="s">
        <v>47</v>
      </c>
      <c r="E302" s="273" t="s">
        <v>39</v>
      </c>
      <c r="F302" s="274" t="s">
        <v>717</v>
      </c>
      <c r="G302" s="42"/>
      <c r="H302" s="287">
        <f>SUM(H303:H304)</f>
        <v>1802.7</v>
      </c>
      <c r="I302" s="287">
        <f>SUM(I303:I304)</f>
        <v>1802.7</v>
      </c>
    </row>
    <row r="303" spans="1:9" ht="36" x14ac:dyDescent="0.35">
      <c r="A303" s="461"/>
      <c r="B303" s="472" t="s">
        <v>57</v>
      </c>
      <c r="C303" s="272" t="s">
        <v>81</v>
      </c>
      <c r="D303" s="273" t="s">
        <v>47</v>
      </c>
      <c r="E303" s="273" t="s">
        <v>39</v>
      </c>
      <c r="F303" s="274" t="s">
        <v>717</v>
      </c>
      <c r="G303" s="42" t="s">
        <v>58</v>
      </c>
      <c r="H303" s="287">
        <f>'прил10 (ведом 23-24)'!M565</f>
        <v>9</v>
      </c>
      <c r="I303" s="287">
        <f>'прил10 (ведом 23-24)'!N565</f>
        <v>9</v>
      </c>
    </row>
    <row r="304" spans="1:9" ht="25.5" customHeight="1" x14ac:dyDescent="0.35">
      <c r="A304" s="461"/>
      <c r="B304" s="472" t="s">
        <v>122</v>
      </c>
      <c r="C304" s="272" t="s">
        <v>81</v>
      </c>
      <c r="D304" s="273" t="s">
        <v>47</v>
      </c>
      <c r="E304" s="273" t="s">
        <v>39</v>
      </c>
      <c r="F304" s="274" t="s">
        <v>717</v>
      </c>
      <c r="G304" s="42" t="s">
        <v>123</v>
      </c>
      <c r="H304" s="287">
        <f>'прил10 (ведом 23-24)'!M566</f>
        <v>1793.7</v>
      </c>
      <c r="I304" s="287">
        <f>'прил10 (ведом 23-24)'!N566</f>
        <v>1793.7</v>
      </c>
    </row>
    <row r="305" spans="1:9" ht="72" x14ac:dyDescent="0.35">
      <c r="A305" s="461"/>
      <c r="B305" s="517" t="s">
        <v>303</v>
      </c>
      <c r="C305" s="543" t="s">
        <v>81</v>
      </c>
      <c r="D305" s="544" t="s">
        <v>47</v>
      </c>
      <c r="E305" s="544" t="s">
        <v>41</v>
      </c>
      <c r="F305" s="545" t="s">
        <v>46</v>
      </c>
      <c r="G305" s="546"/>
      <c r="H305" s="287">
        <f>H306+H308</f>
        <v>47267.9</v>
      </c>
      <c r="I305" s="287">
        <f>I306+I308</f>
        <v>47267.9</v>
      </c>
    </row>
    <row r="306" spans="1:9" ht="94.5" customHeight="1" x14ac:dyDescent="0.35">
      <c r="A306" s="461"/>
      <c r="B306" s="493" t="s">
        <v>480</v>
      </c>
      <c r="C306" s="473" t="s">
        <v>81</v>
      </c>
      <c r="D306" s="474" t="s">
        <v>47</v>
      </c>
      <c r="E306" s="474" t="s">
        <v>41</v>
      </c>
      <c r="F306" s="475" t="s">
        <v>481</v>
      </c>
      <c r="G306" s="476"/>
      <c r="H306" s="287">
        <f>H307</f>
        <v>39126.1</v>
      </c>
      <c r="I306" s="287">
        <f>I307</f>
        <v>39126.1</v>
      </c>
    </row>
    <row r="307" spans="1:9" ht="36" x14ac:dyDescent="0.35">
      <c r="A307" s="461"/>
      <c r="B307" s="493" t="s">
        <v>205</v>
      </c>
      <c r="C307" s="473" t="s">
        <v>81</v>
      </c>
      <c r="D307" s="474" t="s">
        <v>47</v>
      </c>
      <c r="E307" s="474" t="s">
        <v>41</v>
      </c>
      <c r="F307" s="475" t="s">
        <v>481</v>
      </c>
      <c r="G307" s="476" t="s">
        <v>206</v>
      </c>
      <c r="H307" s="287">
        <f>'прил10 (ведом 23-24)'!M260</f>
        <v>39126.1</v>
      </c>
      <c r="I307" s="287">
        <f>'прил10 (ведом 23-24)'!N260</f>
        <v>39126.1</v>
      </c>
    </row>
    <row r="308" spans="1:9" ht="90" x14ac:dyDescent="0.35">
      <c r="A308" s="461"/>
      <c r="B308" s="140" t="s">
        <v>480</v>
      </c>
      <c r="C308" s="115" t="s">
        <v>81</v>
      </c>
      <c r="D308" s="116" t="s">
        <v>47</v>
      </c>
      <c r="E308" s="116" t="s">
        <v>41</v>
      </c>
      <c r="F308" s="141" t="s">
        <v>732</v>
      </c>
      <c r="G308" s="118"/>
      <c r="H308" s="287">
        <f>H309</f>
        <v>8141.8</v>
      </c>
      <c r="I308" s="287">
        <f>I309</f>
        <v>8141.8</v>
      </c>
    </row>
    <row r="309" spans="1:9" ht="36" x14ac:dyDescent="0.35">
      <c r="A309" s="461"/>
      <c r="B309" s="140" t="s">
        <v>205</v>
      </c>
      <c r="C309" s="115" t="s">
        <v>81</v>
      </c>
      <c r="D309" s="116" t="s">
        <v>47</v>
      </c>
      <c r="E309" s="116" t="s">
        <v>41</v>
      </c>
      <c r="F309" s="141" t="s">
        <v>732</v>
      </c>
      <c r="G309" s="118" t="s">
        <v>206</v>
      </c>
      <c r="H309" s="287">
        <f>'прил10 (ведом 23-24)'!M262</f>
        <v>8141.8</v>
      </c>
      <c r="I309" s="287">
        <f>'прил10 (ведом 23-24)'!N262</f>
        <v>8141.8</v>
      </c>
    </row>
    <row r="310" spans="1:9" ht="36" x14ac:dyDescent="0.35">
      <c r="A310" s="461"/>
      <c r="B310" s="472" t="s">
        <v>231</v>
      </c>
      <c r="C310" s="272" t="s">
        <v>81</v>
      </c>
      <c r="D310" s="273" t="s">
        <v>47</v>
      </c>
      <c r="E310" s="273" t="s">
        <v>65</v>
      </c>
      <c r="F310" s="274" t="s">
        <v>46</v>
      </c>
      <c r="G310" s="42"/>
      <c r="H310" s="287">
        <f>H311+H314+H317</f>
        <v>8627.2000000000007</v>
      </c>
      <c r="I310" s="287">
        <f>I311+I314+I317</f>
        <v>8627.2000000000007</v>
      </c>
    </row>
    <row r="311" spans="1:9" ht="234" x14ac:dyDescent="0.35">
      <c r="A311" s="461"/>
      <c r="B311" s="472" t="s">
        <v>234</v>
      </c>
      <c r="C311" s="272" t="s">
        <v>81</v>
      </c>
      <c r="D311" s="273" t="s">
        <v>47</v>
      </c>
      <c r="E311" s="273" t="s">
        <v>65</v>
      </c>
      <c r="F311" s="274" t="s">
        <v>718</v>
      </c>
      <c r="G311" s="42"/>
      <c r="H311" s="287">
        <f>SUM(H312:H313)</f>
        <v>984.4</v>
      </c>
      <c r="I311" s="287">
        <f>SUM(I312:I313)</f>
        <v>984.4</v>
      </c>
    </row>
    <row r="312" spans="1:9" ht="90" x14ac:dyDescent="0.35">
      <c r="A312" s="461"/>
      <c r="B312" s="472" t="s">
        <v>51</v>
      </c>
      <c r="C312" s="272" t="s">
        <v>81</v>
      </c>
      <c r="D312" s="273" t="s">
        <v>47</v>
      </c>
      <c r="E312" s="273" t="s">
        <v>65</v>
      </c>
      <c r="F312" s="274" t="s">
        <v>718</v>
      </c>
      <c r="G312" s="42" t="s">
        <v>52</v>
      </c>
      <c r="H312" s="287">
        <f>'прил10 (ведом 23-24)'!M572</f>
        <v>924.4</v>
      </c>
      <c r="I312" s="287">
        <f>'прил10 (ведом 23-24)'!N572</f>
        <v>924.4</v>
      </c>
    </row>
    <row r="313" spans="1:9" ht="36" x14ac:dyDescent="0.35">
      <c r="A313" s="461"/>
      <c r="B313" s="472" t="s">
        <v>57</v>
      </c>
      <c r="C313" s="272" t="s">
        <v>81</v>
      </c>
      <c r="D313" s="273" t="s">
        <v>47</v>
      </c>
      <c r="E313" s="273" t="s">
        <v>65</v>
      </c>
      <c r="F313" s="274" t="s">
        <v>718</v>
      </c>
      <c r="G313" s="42" t="s">
        <v>58</v>
      </c>
      <c r="H313" s="287">
        <f>'прил10 (ведом 23-24)'!M573</f>
        <v>60</v>
      </c>
      <c r="I313" s="287">
        <f>'прил10 (ведом 23-24)'!N573</f>
        <v>60</v>
      </c>
    </row>
    <row r="314" spans="1:9" ht="90" x14ac:dyDescent="0.35">
      <c r="A314" s="461"/>
      <c r="B314" s="83" t="s">
        <v>535</v>
      </c>
      <c r="C314" s="272" t="s">
        <v>81</v>
      </c>
      <c r="D314" s="273" t="s">
        <v>47</v>
      </c>
      <c r="E314" s="273" t="s">
        <v>65</v>
      </c>
      <c r="F314" s="274" t="s">
        <v>712</v>
      </c>
      <c r="G314" s="42"/>
      <c r="H314" s="287">
        <f>SUM(H315:H316)</f>
        <v>723.6</v>
      </c>
      <c r="I314" s="287">
        <f>SUM(I315:I316)</f>
        <v>723.6</v>
      </c>
    </row>
    <row r="315" spans="1:9" ht="90" x14ac:dyDescent="0.35">
      <c r="A315" s="461"/>
      <c r="B315" s="472" t="s">
        <v>51</v>
      </c>
      <c r="C315" s="272" t="s">
        <v>81</v>
      </c>
      <c r="D315" s="273" t="s">
        <v>47</v>
      </c>
      <c r="E315" s="273" t="s">
        <v>65</v>
      </c>
      <c r="F315" s="274" t="s">
        <v>712</v>
      </c>
      <c r="G315" s="42" t="s">
        <v>52</v>
      </c>
      <c r="H315" s="287">
        <f>'прил10 (ведом 23-24)'!M575</f>
        <v>693.6</v>
      </c>
      <c r="I315" s="287">
        <f>'прил10 (ведом 23-24)'!N575</f>
        <v>693.6</v>
      </c>
    </row>
    <row r="316" spans="1:9" ht="36" x14ac:dyDescent="0.35">
      <c r="A316" s="461"/>
      <c r="B316" s="472" t="s">
        <v>57</v>
      </c>
      <c r="C316" s="272" t="s">
        <v>81</v>
      </c>
      <c r="D316" s="273" t="s">
        <v>47</v>
      </c>
      <c r="E316" s="273" t="s">
        <v>65</v>
      </c>
      <c r="F316" s="274" t="s">
        <v>712</v>
      </c>
      <c r="G316" s="42" t="s">
        <v>58</v>
      </c>
      <c r="H316" s="287">
        <f>'прил10 (ведом 23-24)'!M576</f>
        <v>30</v>
      </c>
      <c r="I316" s="287">
        <f>'прил10 (ведом 23-24)'!N576</f>
        <v>30</v>
      </c>
    </row>
    <row r="317" spans="1:9" ht="72" x14ac:dyDescent="0.35">
      <c r="A317" s="461"/>
      <c r="B317" s="472" t="s">
        <v>233</v>
      </c>
      <c r="C317" s="272" t="s">
        <v>81</v>
      </c>
      <c r="D317" s="273" t="s">
        <v>47</v>
      </c>
      <c r="E317" s="273" t="s">
        <v>65</v>
      </c>
      <c r="F317" s="274" t="s">
        <v>713</v>
      </c>
      <c r="G317" s="42"/>
      <c r="H317" s="287">
        <f>H318+H319</f>
        <v>6919.2</v>
      </c>
      <c r="I317" s="287">
        <f>I318+I319</f>
        <v>6919.2</v>
      </c>
    </row>
    <row r="318" spans="1:9" ht="90" x14ac:dyDescent="0.35">
      <c r="A318" s="461"/>
      <c r="B318" s="472" t="s">
        <v>51</v>
      </c>
      <c r="C318" s="272" t="s">
        <v>81</v>
      </c>
      <c r="D318" s="273" t="s">
        <v>47</v>
      </c>
      <c r="E318" s="273" t="s">
        <v>65</v>
      </c>
      <c r="F318" s="274" t="s">
        <v>713</v>
      </c>
      <c r="G318" s="42" t="s">
        <v>52</v>
      </c>
      <c r="H318" s="287">
        <f>'прил10 (ведом 23-24)'!M578</f>
        <v>6559.2</v>
      </c>
      <c r="I318" s="287">
        <f>'прил10 (ведом 23-24)'!N578</f>
        <v>6559.2</v>
      </c>
    </row>
    <row r="319" spans="1:9" ht="36" x14ac:dyDescent="0.35">
      <c r="A319" s="461"/>
      <c r="B319" s="472" t="s">
        <v>57</v>
      </c>
      <c r="C319" s="618" t="s">
        <v>81</v>
      </c>
      <c r="D319" s="619" t="s">
        <v>47</v>
      </c>
      <c r="E319" s="619" t="s">
        <v>65</v>
      </c>
      <c r="F319" s="274" t="s">
        <v>713</v>
      </c>
      <c r="G319" s="42" t="s">
        <v>58</v>
      </c>
      <c r="H319" s="287">
        <f>'прил10 (ведом 23-24)'!M579</f>
        <v>360</v>
      </c>
      <c r="I319" s="287">
        <f>'прил10 (ведом 23-24)'!N579</f>
        <v>360</v>
      </c>
    </row>
    <row r="320" spans="1:9" ht="77.25" customHeight="1" x14ac:dyDescent="0.35">
      <c r="A320" s="461"/>
      <c r="B320" s="499" t="s">
        <v>522</v>
      </c>
      <c r="C320" s="272" t="s">
        <v>81</v>
      </c>
      <c r="D320" s="273" t="s">
        <v>47</v>
      </c>
      <c r="E320" s="273" t="s">
        <v>54</v>
      </c>
      <c r="F320" s="274" t="s">
        <v>46</v>
      </c>
      <c r="G320" s="42"/>
      <c r="H320" s="287">
        <f>H321</f>
        <v>504</v>
      </c>
      <c r="I320" s="287">
        <f>I321</f>
        <v>504</v>
      </c>
    </row>
    <row r="321" spans="1:9" ht="72" x14ac:dyDescent="0.35">
      <c r="A321" s="461"/>
      <c r="B321" s="499" t="s">
        <v>517</v>
      </c>
      <c r="C321" s="272" t="s">
        <v>81</v>
      </c>
      <c r="D321" s="273" t="s">
        <v>47</v>
      </c>
      <c r="E321" s="273" t="s">
        <v>54</v>
      </c>
      <c r="F321" s="274" t="s">
        <v>365</v>
      </c>
      <c r="G321" s="42"/>
      <c r="H321" s="287">
        <f>H322</f>
        <v>504</v>
      </c>
      <c r="I321" s="287">
        <f>I322</f>
        <v>504</v>
      </c>
    </row>
    <row r="322" spans="1:9" ht="26.25" customHeight="1" x14ac:dyDescent="0.35">
      <c r="A322" s="461"/>
      <c r="B322" s="485" t="s">
        <v>122</v>
      </c>
      <c r="C322" s="272" t="s">
        <v>81</v>
      </c>
      <c r="D322" s="273" t="s">
        <v>47</v>
      </c>
      <c r="E322" s="273" t="s">
        <v>54</v>
      </c>
      <c r="F322" s="274" t="s">
        <v>365</v>
      </c>
      <c r="G322" s="42" t="s">
        <v>123</v>
      </c>
      <c r="H322" s="287">
        <f>'прил10 (ведом 23-24)'!M164</f>
        <v>504</v>
      </c>
      <c r="I322" s="287">
        <f>'прил10 (ведом 23-24)'!N164</f>
        <v>504</v>
      </c>
    </row>
    <row r="323" spans="1:9" ht="18" x14ac:dyDescent="0.35">
      <c r="A323" s="461"/>
      <c r="B323" s="485"/>
      <c r="C323" s="273"/>
      <c r="D323" s="273"/>
      <c r="E323" s="273"/>
      <c r="F323" s="274"/>
      <c r="G323" s="42"/>
      <c r="H323" s="287"/>
      <c r="I323" s="287"/>
    </row>
    <row r="324" spans="1:9" ht="69.599999999999994" x14ac:dyDescent="0.3">
      <c r="A324" s="481">
        <v>9</v>
      </c>
      <c r="B324" s="547" t="s">
        <v>338</v>
      </c>
      <c r="C324" s="548" t="s">
        <v>106</v>
      </c>
      <c r="D324" s="549" t="s">
        <v>44</v>
      </c>
      <c r="E324" s="549" t="s">
        <v>45</v>
      </c>
      <c r="F324" s="550" t="s">
        <v>46</v>
      </c>
      <c r="G324" s="551"/>
      <c r="H324" s="337">
        <f>H325</f>
        <v>3516.2</v>
      </c>
      <c r="I324" s="337">
        <f>I325</f>
        <v>0</v>
      </c>
    </row>
    <row r="325" spans="1:9" ht="54" x14ac:dyDescent="0.35">
      <c r="A325" s="461"/>
      <c r="B325" s="285" t="s">
        <v>637</v>
      </c>
      <c r="C325" s="272" t="s">
        <v>106</v>
      </c>
      <c r="D325" s="273" t="s">
        <v>36</v>
      </c>
      <c r="E325" s="273" t="s">
        <v>45</v>
      </c>
      <c r="F325" s="274" t="s">
        <v>46</v>
      </c>
      <c r="G325" s="42"/>
      <c r="H325" s="287">
        <f t="shared" ref="H325:I327" si="7">H326</f>
        <v>3516.2</v>
      </c>
      <c r="I325" s="287">
        <f t="shared" si="7"/>
        <v>0</v>
      </c>
    </row>
    <row r="326" spans="1:9" ht="36" x14ac:dyDescent="0.35">
      <c r="A326" s="461"/>
      <c r="B326" s="285" t="s">
        <v>638</v>
      </c>
      <c r="C326" s="272" t="s">
        <v>106</v>
      </c>
      <c r="D326" s="273" t="s">
        <v>36</v>
      </c>
      <c r="E326" s="273" t="s">
        <v>39</v>
      </c>
      <c r="F326" s="274" t="s">
        <v>46</v>
      </c>
      <c r="G326" s="42"/>
      <c r="H326" s="287">
        <f t="shared" si="7"/>
        <v>3516.2</v>
      </c>
      <c r="I326" s="287">
        <f t="shared" si="7"/>
        <v>0</v>
      </c>
    </row>
    <row r="327" spans="1:9" ht="36" x14ac:dyDescent="0.35">
      <c r="A327" s="461"/>
      <c r="B327" s="285" t="s">
        <v>639</v>
      </c>
      <c r="C327" s="272" t="s">
        <v>106</v>
      </c>
      <c r="D327" s="273" t="s">
        <v>36</v>
      </c>
      <c r="E327" s="273" t="s">
        <v>39</v>
      </c>
      <c r="F327" s="274" t="s">
        <v>640</v>
      </c>
      <c r="G327" s="42"/>
      <c r="H327" s="287">
        <f t="shared" si="7"/>
        <v>3516.2</v>
      </c>
      <c r="I327" s="287">
        <f t="shared" si="7"/>
        <v>0</v>
      </c>
    </row>
    <row r="328" spans="1:9" ht="36" x14ac:dyDescent="0.35">
      <c r="A328" s="461"/>
      <c r="B328" s="285" t="s">
        <v>57</v>
      </c>
      <c r="C328" s="272" t="s">
        <v>106</v>
      </c>
      <c r="D328" s="273" t="s">
        <v>36</v>
      </c>
      <c r="E328" s="273" t="s">
        <v>39</v>
      </c>
      <c r="F328" s="274" t="s">
        <v>640</v>
      </c>
      <c r="G328" s="42" t="s">
        <v>58</v>
      </c>
      <c r="H328" s="287">
        <f>'прил10 (ведом 23-24)'!M157</f>
        <v>3516.2</v>
      </c>
      <c r="I328" s="287">
        <f>'прил10 (ведом 23-24)'!N157</f>
        <v>0</v>
      </c>
    </row>
    <row r="329" spans="1:9" ht="18" x14ac:dyDescent="0.35">
      <c r="A329" s="461"/>
      <c r="B329" s="485"/>
      <c r="C329" s="273"/>
      <c r="D329" s="273"/>
      <c r="E329" s="273"/>
      <c r="F329" s="274"/>
      <c r="G329" s="42"/>
      <c r="H329" s="287"/>
      <c r="I329" s="287"/>
    </row>
    <row r="330" spans="1:9" s="471" customFormat="1" ht="52.2" x14ac:dyDescent="0.3">
      <c r="A330" s="481">
        <v>10</v>
      </c>
      <c r="B330" s="492" t="s">
        <v>96</v>
      </c>
      <c r="C330" s="482" t="s">
        <v>69</v>
      </c>
      <c r="D330" s="482" t="s">
        <v>44</v>
      </c>
      <c r="E330" s="482" t="s">
        <v>45</v>
      </c>
      <c r="F330" s="483" t="s">
        <v>46</v>
      </c>
      <c r="G330" s="552"/>
      <c r="H330" s="337">
        <f>H331</f>
        <v>12695.300000000001</v>
      </c>
      <c r="I330" s="337">
        <f>I331</f>
        <v>17253.900000000001</v>
      </c>
    </row>
    <row r="331" spans="1:9" ht="18.75" customHeight="1" x14ac:dyDescent="0.35">
      <c r="A331" s="461"/>
      <c r="B331" s="472" t="s">
        <v>345</v>
      </c>
      <c r="C331" s="272" t="s">
        <v>69</v>
      </c>
      <c r="D331" s="273" t="s">
        <v>47</v>
      </c>
      <c r="E331" s="273" t="s">
        <v>45</v>
      </c>
      <c r="F331" s="274" t="s">
        <v>46</v>
      </c>
      <c r="G331" s="489"/>
      <c r="H331" s="287">
        <f>H332+H335</f>
        <v>12695.300000000001</v>
      </c>
      <c r="I331" s="287">
        <f>I332+I335</f>
        <v>17253.900000000001</v>
      </c>
    </row>
    <row r="332" spans="1:9" ht="36" x14ac:dyDescent="0.35">
      <c r="A332" s="461"/>
      <c r="B332" s="472" t="s">
        <v>97</v>
      </c>
      <c r="C332" s="272" t="s">
        <v>69</v>
      </c>
      <c r="D332" s="273" t="s">
        <v>47</v>
      </c>
      <c r="E332" s="273" t="s">
        <v>39</v>
      </c>
      <c r="F332" s="274" t="s">
        <v>46</v>
      </c>
      <c r="G332" s="489"/>
      <c r="H332" s="287">
        <f>H333</f>
        <v>11070.6</v>
      </c>
      <c r="I332" s="287">
        <f>I333</f>
        <v>15776.9</v>
      </c>
    </row>
    <row r="333" spans="1:9" ht="54" x14ac:dyDescent="0.35">
      <c r="A333" s="461"/>
      <c r="B333" s="553" t="s">
        <v>472</v>
      </c>
      <c r="C333" s="272" t="s">
        <v>69</v>
      </c>
      <c r="D333" s="273" t="s">
        <v>47</v>
      </c>
      <c r="E333" s="273" t="s">
        <v>39</v>
      </c>
      <c r="F333" s="274" t="s">
        <v>63</v>
      </c>
      <c r="G333" s="42"/>
      <c r="H333" s="287">
        <f>H334</f>
        <v>11070.6</v>
      </c>
      <c r="I333" s="287">
        <f>I334</f>
        <v>15776.9</v>
      </c>
    </row>
    <row r="334" spans="1:9" ht="18" x14ac:dyDescent="0.35">
      <c r="A334" s="461"/>
      <c r="B334" s="472" t="s">
        <v>59</v>
      </c>
      <c r="C334" s="272" t="s">
        <v>69</v>
      </c>
      <c r="D334" s="273" t="s">
        <v>47</v>
      </c>
      <c r="E334" s="273" t="s">
        <v>39</v>
      </c>
      <c r="F334" s="274" t="s">
        <v>63</v>
      </c>
      <c r="G334" s="42" t="s">
        <v>60</v>
      </c>
      <c r="H334" s="287">
        <f>'прил10 (ведом 23-24)'!M117</f>
        <v>11070.6</v>
      </c>
      <c r="I334" s="287">
        <f>'прил10 (ведом 23-24)'!N117</f>
        <v>15776.9</v>
      </c>
    </row>
    <row r="335" spans="1:9" ht="54" x14ac:dyDescent="0.35">
      <c r="A335" s="461"/>
      <c r="B335" s="472" t="s">
        <v>98</v>
      </c>
      <c r="C335" s="272" t="s">
        <v>69</v>
      </c>
      <c r="D335" s="273" t="s">
        <v>47</v>
      </c>
      <c r="E335" s="273" t="s">
        <v>41</v>
      </c>
      <c r="F335" s="274" t="s">
        <v>46</v>
      </c>
      <c r="G335" s="42"/>
      <c r="H335" s="287">
        <f>H336</f>
        <v>1624.7</v>
      </c>
      <c r="I335" s="287">
        <f>I336</f>
        <v>1477</v>
      </c>
    </row>
    <row r="336" spans="1:9" ht="162" x14ac:dyDescent="0.35">
      <c r="A336" s="461"/>
      <c r="B336" s="285" t="s">
        <v>690</v>
      </c>
      <c r="C336" s="272" t="s">
        <v>69</v>
      </c>
      <c r="D336" s="273" t="s">
        <v>47</v>
      </c>
      <c r="E336" s="273" t="s">
        <v>41</v>
      </c>
      <c r="F336" s="274" t="s">
        <v>99</v>
      </c>
      <c r="G336" s="42"/>
      <c r="H336" s="287">
        <f>H337</f>
        <v>1624.7</v>
      </c>
      <c r="I336" s="287">
        <f>I337</f>
        <v>1477</v>
      </c>
    </row>
    <row r="337" spans="1:9" ht="36" x14ac:dyDescent="0.35">
      <c r="A337" s="461"/>
      <c r="B337" s="472" t="s">
        <v>57</v>
      </c>
      <c r="C337" s="272" t="s">
        <v>69</v>
      </c>
      <c r="D337" s="273" t="s">
        <v>47</v>
      </c>
      <c r="E337" s="273" t="s">
        <v>41</v>
      </c>
      <c r="F337" s="274" t="s">
        <v>99</v>
      </c>
      <c r="G337" s="42" t="s">
        <v>58</v>
      </c>
      <c r="H337" s="287">
        <f>'прил10 (ведом 23-24)'!M120</f>
        <v>1624.7</v>
      </c>
      <c r="I337" s="287">
        <f>'прил10 (ведом 23-24)'!N120</f>
        <v>1477</v>
      </c>
    </row>
    <row r="338" spans="1:9" ht="18" x14ac:dyDescent="0.35">
      <c r="A338" s="461"/>
      <c r="B338" s="480"/>
      <c r="C338" s="635"/>
      <c r="D338" s="635"/>
      <c r="E338" s="635"/>
      <c r="F338" s="636"/>
      <c r="G338" s="312"/>
      <c r="H338" s="287"/>
      <c r="I338" s="287"/>
    </row>
    <row r="339" spans="1:9" s="471" customFormat="1" ht="52.2" x14ac:dyDescent="0.3">
      <c r="A339" s="481">
        <v>11</v>
      </c>
      <c r="B339" s="492" t="s">
        <v>101</v>
      </c>
      <c r="C339" s="482" t="s">
        <v>102</v>
      </c>
      <c r="D339" s="482" t="s">
        <v>44</v>
      </c>
      <c r="E339" s="482" t="s">
        <v>45</v>
      </c>
      <c r="F339" s="483" t="s">
        <v>46</v>
      </c>
      <c r="G339" s="470"/>
      <c r="H339" s="337">
        <f t="shared" ref="H339:I342" si="8">H340</f>
        <v>6443.4</v>
      </c>
      <c r="I339" s="337">
        <f t="shared" si="8"/>
        <v>6701.1</v>
      </c>
    </row>
    <row r="340" spans="1:9" s="471" customFormat="1" ht="19.5" customHeight="1" x14ac:dyDescent="0.35">
      <c r="A340" s="461"/>
      <c r="B340" s="472" t="s">
        <v>345</v>
      </c>
      <c r="C340" s="272" t="s">
        <v>102</v>
      </c>
      <c r="D340" s="273" t="s">
        <v>47</v>
      </c>
      <c r="E340" s="273" t="s">
        <v>45</v>
      </c>
      <c r="F340" s="274" t="s">
        <v>46</v>
      </c>
      <c r="G340" s="42"/>
      <c r="H340" s="287">
        <f t="shared" si="8"/>
        <v>6443.4</v>
      </c>
      <c r="I340" s="287">
        <f t="shared" si="8"/>
        <v>6701.1</v>
      </c>
    </row>
    <row r="341" spans="1:9" s="471" customFormat="1" ht="72" x14ac:dyDescent="0.35">
      <c r="A341" s="461"/>
      <c r="B341" s="472" t="s">
        <v>103</v>
      </c>
      <c r="C341" s="272" t="s">
        <v>102</v>
      </c>
      <c r="D341" s="273" t="s">
        <v>47</v>
      </c>
      <c r="E341" s="273" t="s">
        <v>39</v>
      </c>
      <c r="F341" s="274" t="s">
        <v>46</v>
      </c>
      <c r="G341" s="42"/>
      <c r="H341" s="287">
        <f t="shared" si="8"/>
        <v>6443.4</v>
      </c>
      <c r="I341" s="287">
        <f t="shared" si="8"/>
        <v>6701.1</v>
      </c>
    </row>
    <row r="342" spans="1:9" s="471" customFormat="1" ht="72" x14ac:dyDescent="0.35">
      <c r="A342" s="461"/>
      <c r="B342" s="484" t="s">
        <v>104</v>
      </c>
      <c r="C342" s="272" t="s">
        <v>102</v>
      </c>
      <c r="D342" s="273" t="s">
        <v>47</v>
      </c>
      <c r="E342" s="273" t="s">
        <v>39</v>
      </c>
      <c r="F342" s="274" t="s">
        <v>105</v>
      </c>
      <c r="G342" s="42"/>
      <c r="H342" s="287">
        <f t="shared" si="8"/>
        <v>6443.4</v>
      </c>
      <c r="I342" s="287">
        <f t="shared" si="8"/>
        <v>6701.1</v>
      </c>
    </row>
    <row r="343" spans="1:9" ht="36" x14ac:dyDescent="0.35">
      <c r="A343" s="461"/>
      <c r="B343" s="472" t="s">
        <v>57</v>
      </c>
      <c r="C343" s="272" t="s">
        <v>102</v>
      </c>
      <c r="D343" s="273" t="s">
        <v>47</v>
      </c>
      <c r="E343" s="273" t="s">
        <v>39</v>
      </c>
      <c r="F343" s="274" t="s">
        <v>105</v>
      </c>
      <c r="G343" s="42" t="s">
        <v>58</v>
      </c>
      <c r="H343" s="287">
        <f>'прил10 (ведом 23-24)'!M126</f>
        <v>6443.4</v>
      </c>
      <c r="I343" s="287">
        <f>'прил10 (ведом 23-24)'!N126</f>
        <v>6701.1</v>
      </c>
    </row>
    <row r="344" spans="1:9" ht="18" x14ac:dyDescent="0.35">
      <c r="A344" s="461"/>
      <c r="B344" s="472"/>
      <c r="C344" s="273"/>
      <c r="D344" s="273"/>
      <c r="E344" s="273"/>
      <c r="F344" s="274"/>
      <c r="G344" s="42"/>
      <c r="H344" s="287"/>
      <c r="I344" s="287"/>
    </row>
    <row r="345" spans="1:9" ht="55.8" customHeight="1" x14ac:dyDescent="0.3">
      <c r="A345" s="481">
        <v>12</v>
      </c>
      <c r="B345" s="554" t="s">
        <v>109</v>
      </c>
      <c r="C345" s="555" t="s">
        <v>73</v>
      </c>
      <c r="D345" s="556" t="s">
        <v>44</v>
      </c>
      <c r="E345" s="556" t="s">
        <v>45</v>
      </c>
      <c r="F345" s="557" t="s">
        <v>46</v>
      </c>
      <c r="G345" s="195"/>
      <c r="H345" s="337">
        <f>H350+H346</f>
        <v>1025.0999999999999</v>
      </c>
      <c r="I345" s="337">
        <f>I350+I346</f>
        <v>1025.0999999999999</v>
      </c>
    </row>
    <row r="346" spans="1:9" ht="36" x14ac:dyDescent="0.35">
      <c r="A346" s="481"/>
      <c r="B346" s="500" t="s">
        <v>110</v>
      </c>
      <c r="C346" s="272" t="s">
        <v>73</v>
      </c>
      <c r="D346" s="273" t="s">
        <v>47</v>
      </c>
      <c r="E346" s="273" t="s">
        <v>45</v>
      </c>
      <c r="F346" s="274" t="s">
        <v>46</v>
      </c>
      <c r="G346" s="42"/>
      <c r="H346" s="287">
        <f t="shared" ref="H346:H347" si="9">H347</f>
        <v>310</v>
      </c>
      <c r="I346" s="287">
        <f t="shared" ref="I346:I347" si="10">I347</f>
        <v>310</v>
      </c>
    </row>
    <row r="347" spans="1:9" ht="36" x14ac:dyDescent="0.35">
      <c r="A347" s="481"/>
      <c r="B347" s="285" t="s">
        <v>111</v>
      </c>
      <c r="C347" s="272" t="s">
        <v>73</v>
      </c>
      <c r="D347" s="273" t="s">
        <v>47</v>
      </c>
      <c r="E347" s="273" t="s">
        <v>39</v>
      </c>
      <c r="F347" s="274" t="s">
        <v>46</v>
      </c>
      <c r="G347" s="42"/>
      <c r="H347" s="287">
        <f t="shared" si="9"/>
        <v>310</v>
      </c>
      <c r="I347" s="287">
        <f t="shared" si="10"/>
        <v>310</v>
      </c>
    </row>
    <row r="348" spans="1:9" ht="36" x14ac:dyDescent="0.35">
      <c r="A348" s="481"/>
      <c r="B348" s="500" t="s">
        <v>112</v>
      </c>
      <c r="C348" s="272" t="s">
        <v>73</v>
      </c>
      <c r="D348" s="273" t="s">
        <v>47</v>
      </c>
      <c r="E348" s="273" t="s">
        <v>39</v>
      </c>
      <c r="F348" s="274" t="s">
        <v>113</v>
      </c>
      <c r="G348" s="42"/>
      <c r="H348" s="287">
        <f>H349</f>
        <v>310</v>
      </c>
      <c r="I348" s="287">
        <f>I349</f>
        <v>310</v>
      </c>
    </row>
    <row r="349" spans="1:9" ht="36" x14ac:dyDescent="0.35">
      <c r="A349" s="481"/>
      <c r="B349" s="285" t="s">
        <v>57</v>
      </c>
      <c r="C349" s="272" t="s">
        <v>73</v>
      </c>
      <c r="D349" s="273" t="s">
        <v>47</v>
      </c>
      <c r="E349" s="273" t="s">
        <v>39</v>
      </c>
      <c r="F349" s="274" t="s">
        <v>113</v>
      </c>
      <c r="G349" s="42" t="s">
        <v>58</v>
      </c>
      <c r="H349" s="287">
        <f>'прил10 (ведом 23-24)'!M132</f>
        <v>310</v>
      </c>
      <c r="I349" s="287">
        <f>'прил10 (ведом 23-24)'!N132</f>
        <v>310</v>
      </c>
    </row>
    <row r="350" spans="1:9" ht="36" x14ac:dyDescent="0.35">
      <c r="A350" s="461"/>
      <c r="B350" s="500" t="s">
        <v>114</v>
      </c>
      <c r="C350" s="272" t="s">
        <v>73</v>
      </c>
      <c r="D350" s="273" t="s">
        <v>91</v>
      </c>
      <c r="E350" s="273" t="s">
        <v>45</v>
      </c>
      <c r="F350" s="274" t="s">
        <v>46</v>
      </c>
      <c r="G350" s="42"/>
      <c r="H350" s="287">
        <f t="shared" ref="H350:I352" si="11">H351</f>
        <v>715.1</v>
      </c>
      <c r="I350" s="287">
        <f t="shared" si="11"/>
        <v>715.1</v>
      </c>
    </row>
    <row r="351" spans="1:9" ht="36" x14ac:dyDescent="0.35">
      <c r="A351" s="461"/>
      <c r="B351" s="500" t="s">
        <v>115</v>
      </c>
      <c r="C351" s="272" t="s">
        <v>73</v>
      </c>
      <c r="D351" s="273" t="s">
        <v>91</v>
      </c>
      <c r="E351" s="273" t="s">
        <v>39</v>
      </c>
      <c r="F351" s="274" t="s">
        <v>46</v>
      </c>
      <c r="G351" s="42"/>
      <c r="H351" s="287">
        <f t="shared" si="11"/>
        <v>715.1</v>
      </c>
      <c r="I351" s="287">
        <f t="shared" si="11"/>
        <v>715.1</v>
      </c>
    </row>
    <row r="352" spans="1:9" ht="72" x14ac:dyDescent="0.35">
      <c r="A352" s="461"/>
      <c r="B352" s="500" t="s">
        <v>116</v>
      </c>
      <c r="C352" s="272" t="s">
        <v>73</v>
      </c>
      <c r="D352" s="273" t="s">
        <v>91</v>
      </c>
      <c r="E352" s="273" t="s">
        <v>39</v>
      </c>
      <c r="F352" s="274" t="s">
        <v>117</v>
      </c>
      <c r="G352" s="42"/>
      <c r="H352" s="287">
        <f t="shared" si="11"/>
        <v>715.1</v>
      </c>
      <c r="I352" s="287">
        <f t="shared" si="11"/>
        <v>715.1</v>
      </c>
    </row>
    <row r="353" spans="1:9" ht="36" x14ac:dyDescent="0.35">
      <c r="A353" s="461"/>
      <c r="B353" s="285" t="s">
        <v>57</v>
      </c>
      <c r="C353" s="272" t="s">
        <v>73</v>
      </c>
      <c r="D353" s="273" t="s">
        <v>91</v>
      </c>
      <c r="E353" s="273" t="s">
        <v>39</v>
      </c>
      <c r="F353" s="274" t="s">
        <v>117</v>
      </c>
      <c r="G353" s="42" t="s">
        <v>58</v>
      </c>
      <c r="H353" s="287">
        <f>'прил10 (ведом 23-24)'!M136</f>
        <v>715.1</v>
      </c>
      <c r="I353" s="287">
        <f>'прил10 (ведом 23-24)'!N136</f>
        <v>715.1</v>
      </c>
    </row>
    <row r="354" spans="1:9" ht="18" x14ac:dyDescent="0.35">
      <c r="A354" s="461"/>
      <c r="B354" s="285"/>
      <c r="C354" s="273"/>
      <c r="D354" s="273"/>
      <c r="E354" s="273"/>
      <c r="F354" s="274"/>
      <c r="G354" s="42"/>
      <c r="H354" s="287"/>
      <c r="I354" s="287"/>
    </row>
    <row r="355" spans="1:9" ht="52.2" x14ac:dyDescent="0.3">
      <c r="A355" s="481">
        <v>13</v>
      </c>
      <c r="B355" s="554" t="s">
        <v>118</v>
      </c>
      <c r="C355" s="555" t="s">
        <v>90</v>
      </c>
      <c r="D355" s="556" t="s">
        <v>44</v>
      </c>
      <c r="E355" s="556" t="s">
        <v>45</v>
      </c>
      <c r="F355" s="557" t="s">
        <v>46</v>
      </c>
      <c r="G355" s="195"/>
      <c r="H355" s="337">
        <f t="shared" ref="H355:I360" si="12">H356</f>
        <v>891.19999999999993</v>
      </c>
      <c r="I355" s="337">
        <f t="shared" si="12"/>
        <v>934.19999999999993</v>
      </c>
    </row>
    <row r="356" spans="1:9" ht="30" customHeight="1" x14ac:dyDescent="0.35">
      <c r="A356" s="461"/>
      <c r="B356" s="285" t="s">
        <v>345</v>
      </c>
      <c r="C356" s="272" t="s">
        <v>90</v>
      </c>
      <c r="D356" s="273" t="s">
        <v>47</v>
      </c>
      <c r="E356" s="273" t="s">
        <v>45</v>
      </c>
      <c r="F356" s="274" t="s">
        <v>46</v>
      </c>
      <c r="G356" s="42"/>
      <c r="H356" s="287">
        <f t="shared" si="12"/>
        <v>891.19999999999993</v>
      </c>
      <c r="I356" s="287">
        <f t="shared" si="12"/>
        <v>934.19999999999993</v>
      </c>
    </row>
    <row r="357" spans="1:9" ht="54" x14ac:dyDescent="0.35">
      <c r="A357" s="461"/>
      <c r="B357" s="500" t="s">
        <v>311</v>
      </c>
      <c r="C357" s="272" t="s">
        <v>90</v>
      </c>
      <c r="D357" s="273" t="s">
        <v>47</v>
      </c>
      <c r="E357" s="273" t="s">
        <v>39</v>
      </c>
      <c r="F357" s="274" t="s">
        <v>46</v>
      </c>
      <c r="G357" s="42"/>
      <c r="H357" s="287">
        <f>H360+H358</f>
        <v>891.19999999999993</v>
      </c>
      <c r="I357" s="287">
        <f>I360+I358</f>
        <v>934.19999999999993</v>
      </c>
    </row>
    <row r="358" spans="1:9" ht="54" x14ac:dyDescent="0.35">
      <c r="A358" s="461"/>
      <c r="B358" s="500" t="s">
        <v>119</v>
      </c>
      <c r="C358" s="272" t="s">
        <v>90</v>
      </c>
      <c r="D358" s="273" t="s">
        <v>47</v>
      </c>
      <c r="E358" s="273" t="s">
        <v>39</v>
      </c>
      <c r="F358" s="274" t="s">
        <v>120</v>
      </c>
      <c r="G358" s="42"/>
      <c r="H358" s="287">
        <f>H359</f>
        <v>68.900000000000006</v>
      </c>
      <c r="I358" s="287">
        <f>I359</f>
        <v>111.9</v>
      </c>
    </row>
    <row r="359" spans="1:9" ht="36" x14ac:dyDescent="0.35">
      <c r="A359" s="461"/>
      <c r="B359" s="285" t="s">
        <v>57</v>
      </c>
      <c r="C359" s="272" t="s">
        <v>90</v>
      </c>
      <c r="D359" s="273" t="s">
        <v>47</v>
      </c>
      <c r="E359" s="273" t="s">
        <v>39</v>
      </c>
      <c r="F359" s="274" t="s">
        <v>120</v>
      </c>
      <c r="G359" s="42" t="s">
        <v>58</v>
      </c>
      <c r="H359" s="287">
        <f>'прил10 (ведом 23-24)'!M141</f>
        <v>68.900000000000006</v>
      </c>
      <c r="I359" s="287">
        <f>'прил10 (ведом 23-24)'!N141</f>
        <v>111.9</v>
      </c>
    </row>
    <row r="360" spans="1:9" ht="72" x14ac:dyDescent="0.35">
      <c r="A360" s="461"/>
      <c r="B360" s="285" t="s">
        <v>691</v>
      </c>
      <c r="C360" s="272" t="s">
        <v>90</v>
      </c>
      <c r="D360" s="273" t="s">
        <v>47</v>
      </c>
      <c r="E360" s="273" t="s">
        <v>39</v>
      </c>
      <c r="F360" s="274" t="s">
        <v>689</v>
      </c>
      <c r="G360" s="42"/>
      <c r="H360" s="287">
        <f t="shared" si="12"/>
        <v>822.3</v>
      </c>
      <c r="I360" s="287">
        <f t="shared" si="12"/>
        <v>822.3</v>
      </c>
    </row>
    <row r="361" spans="1:9" ht="36" x14ac:dyDescent="0.35">
      <c r="A361" s="461"/>
      <c r="B361" s="285" t="s">
        <v>57</v>
      </c>
      <c r="C361" s="272" t="s">
        <v>90</v>
      </c>
      <c r="D361" s="273" t="s">
        <v>47</v>
      </c>
      <c r="E361" s="273" t="s">
        <v>39</v>
      </c>
      <c r="F361" s="274" t="s">
        <v>689</v>
      </c>
      <c r="G361" s="42" t="s">
        <v>58</v>
      </c>
      <c r="H361" s="287">
        <f>'прил10 (ведом 23-24)'!M143</f>
        <v>822.3</v>
      </c>
      <c r="I361" s="287">
        <f>'прил10 (ведом 23-24)'!N143</f>
        <v>822.3</v>
      </c>
    </row>
    <row r="362" spans="1:9" ht="18" x14ac:dyDescent="0.35">
      <c r="A362" s="461"/>
      <c r="B362" s="285"/>
      <c r="C362" s="273"/>
      <c r="D362" s="273"/>
      <c r="E362" s="273"/>
      <c r="F362" s="274"/>
      <c r="G362" s="42"/>
      <c r="H362" s="287"/>
      <c r="I362" s="287"/>
    </row>
    <row r="363" spans="1:9" ht="69.599999999999994" x14ac:dyDescent="0.3">
      <c r="A363" s="481">
        <v>14</v>
      </c>
      <c r="B363" s="492" t="s">
        <v>74</v>
      </c>
      <c r="C363" s="482" t="s">
        <v>75</v>
      </c>
      <c r="D363" s="482" t="s">
        <v>44</v>
      </c>
      <c r="E363" s="482" t="s">
        <v>45</v>
      </c>
      <c r="F363" s="483" t="s">
        <v>46</v>
      </c>
      <c r="G363" s="470"/>
      <c r="H363" s="337">
        <f t="shared" ref="H363:I366" si="13">H364</f>
        <v>1255.7</v>
      </c>
      <c r="I363" s="337">
        <f t="shared" si="13"/>
        <v>1255.7</v>
      </c>
    </row>
    <row r="364" spans="1:9" ht="26.25" customHeight="1" x14ac:dyDescent="0.35">
      <c r="A364" s="461"/>
      <c r="B364" s="472" t="s">
        <v>345</v>
      </c>
      <c r="C364" s="272" t="s">
        <v>75</v>
      </c>
      <c r="D364" s="273" t="s">
        <v>47</v>
      </c>
      <c r="E364" s="273" t="s">
        <v>45</v>
      </c>
      <c r="F364" s="274" t="s">
        <v>46</v>
      </c>
      <c r="G364" s="42"/>
      <c r="H364" s="287">
        <f t="shared" si="13"/>
        <v>1255.7</v>
      </c>
      <c r="I364" s="287">
        <f t="shared" si="13"/>
        <v>1255.7</v>
      </c>
    </row>
    <row r="365" spans="1:9" ht="36" x14ac:dyDescent="0.35">
      <c r="A365" s="461"/>
      <c r="B365" s="501" t="s">
        <v>268</v>
      </c>
      <c r="C365" s="272" t="s">
        <v>75</v>
      </c>
      <c r="D365" s="273" t="s">
        <v>47</v>
      </c>
      <c r="E365" s="273" t="s">
        <v>39</v>
      </c>
      <c r="F365" s="274" t="s">
        <v>46</v>
      </c>
      <c r="G365" s="42"/>
      <c r="H365" s="287">
        <f t="shared" si="13"/>
        <v>1255.7</v>
      </c>
      <c r="I365" s="287">
        <f t="shared" si="13"/>
        <v>1255.7</v>
      </c>
    </row>
    <row r="366" spans="1:9" ht="36" x14ac:dyDescent="0.35">
      <c r="A366" s="461"/>
      <c r="B366" s="501" t="s">
        <v>76</v>
      </c>
      <c r="C366" s="272" t="s">
        <v>75</v>
      </c>
      <c r="D366" s="273" t="s">
        <v>47</v>
      </c>
      <c r="E366" s="273" t="s">
        <v>39</v>
      </c>
      <c r="F366" s="274" t="s">
        <v>77</v>
      </c>
      <c r="G366" s="42"/>
      <c r="H366" s="287">
        <f t="shared" si="13"/>
        <v>1255.7</v>
      </c>
      <c r="I366" s="287">
        <f t="shared" si="13"/>
        <v>1255.7</v>
      </c>
    </row>
    <row r="367" spans="1:9" ht="41.25" customHeight="1" x14ac:dyDescent="0.35">
      <c r="A367" s="461"/>
      <c r="B367" s="478" t="s">
        <v>78</v>
      </c>
      <c r="C367" s="272" t="s">
        <v>75</v>
      </c>
      <c r="D367" s="273" t="s">
        <v>47</v>
      </c>
      <c r="E367" s="273" t="s">
        <v>39</v>
      </c>
      <c r="F367" s="274" t="s">
        <v>77</v>
      </c>
      <c r="G367" s="42" t="s">
        <v>79</v>
      </c>
      <c r="H367" s="287">
        <f>'прил10 (ведом 23-24)'!M65+'прил10 (ведом 23-24)'!M170</f>
        <v>1255.7</v>
      </c>
      <c r="I367" s="287">
        <f>'прил10 (ведом 23-24)'!N65+'прил10 (ведом 23-24)'!N170</f>
        <v>1255.7</v>
      </c>
    </row>
    <row r="368" spans="1:9" ht="18" x14ac:dyDescent="0.35">
      <c r="A368" s="461"/>
      <c r="B368" s="480"/>
      <c r="C368" s="635"/>
      <c r="D368" s="635"/>
      <c r="E368" s="635"/>
      <c r="F368" s="636"/>
      <c r="G368" s="312"/>
      <c r="H368" s="287"/>
      <c r="I368" s="287"/>
    </row>
    <row r="369" spans="1:9" s="471" customFormat="1" ht="52.2" x14ac:dyDescent="0.3">
      <c r="A369" s="481">
        <v>15</v>
      </c>
      <c r="B369" s="492" t="s">
        <v>42</v>
      </c>
      <c r="C369" s="482" t="s">
        <v>43</v>
      </c>
      <c r="D369" s="482" t="s">
        <v>44</v>
      </c>
      <c r="E369" s="482" t="s">
        <v>45</v>
      </c>
      <c r="F369" s="483" t="s">
        <v>46</v>
      </c>
      <c r="G369" s="470"/>
      <c r="H369" s="337">
        <f>H370</f>
        <v>95856.2</v>
      </c>
      <c r="I369" s="337">
        <f>I370</f>
        <v>94206.700000000012</v>
      </c>
    </row>
    <row r="370" spans="1:9" s="471" customFormat="1" ht="24.75" customHeight="1" x14ac:dyDescent="0.35">
      <c r="A370" s="461"/>
      <c r="B370" s="472" t="s">
        <v>345</v>
      </c>
      <c r="C370" s="272" t="s">
        <v>43</v>
      </c>
      <c r="D370" s="273" t="s">
        <v>47</v>
      </c>
      <c r="E370" s="273" t="s">
        <v>45</v>
      </c>
      <c r="F370" s="274" t="s">
        <v>46</v>
      </c>
      <c r="G370" s="42"/>
      <c r="H370" s="287">
        <f>H371+H374+H404+H408+H393+H399+H414+H417</f>
        <v>95856.2</v>
      </c>
      <c r="I370" s="287">
        <f>I371+I374+I404+I408+I393+I399+I414+I417</f>
        <v>94206.700000000012</v>
      </c>
    </row>
    <row r="371" spans="1:9" s="471" customFormat="1" ht="36" x14ac:dyDescent="0.35">
      <c r="A371" s="461"/>
      <c r="B371" s="472" t="s">
        <v>48</v>
      </c>
      <c r="C371" s="272" t="s">
        <v>43</v>
      </c>
      <c r="D371" s="273" t="s">
        <v>47</v>
      </c>
      <c r="E371" s="273" t="s">
        <v>39</v>
      </c>
      <c r="F371" s="274" t="s">
        <v>46</v>
      </c>
      <c r="G371" s="42"/>
      <c r="H371" s="287">
        <f>H372</f>
        <v>2128.5</v>
      </c>
      <c r="I371" s="287">
        <f>I372</f>
        <v>2128.5</v>
      </c>
    </row>
    <row r="372" spans="1:9" s="471" customFormat="1" ht="36" x14ac:dyDescent="0.35">
      <c r="A372" s="461"/>
      <c r="B372" s="472" t="s">
        <v>49</v>
      </c>
      <c r="C372" s="272" t="s">
        <v>43</v>
      </c>
      <c r="D372" s="273" t="s">
        <v>47</v>
      </c>
      <c r="E372" s="273" t="s">
        <v>39</v>
      </c>
      <c r="F372" s="274" t="s">
        <v>50</v>
      </c>
      <c r="G372" s="42"/>
      <c r="H372" s="287">
        <f>H373</f>
        <v>2128.5</v>
      </c>
      <c r="I372" s="287">
        <f>I373</f>
        <v>2128.5</v>
      </c>
    </row>
    <row r="373" spans="1:9" s="471" customFormat="1" ht="90" x14ac:dyDescent="0.35">
      <c r="A373" s="461"/>
      <c r="B373" s="472" t="s">
        <v>51</v>
      </c>
      <c r="C373" s="272" t="s">
        <v>43</v>
      </c>
      <c r="D373" s="273" t="s">
        <v>47</v>
      </c>
      <c r="E373" s="273" t="s">
        <v>39</v>
      </c>
      <c r="F373" s="274" t="s">
        <v>50</v>
      </c>
      <c r="G373" s="42" t="s">
        <v>52</v>
      </c>
      <c r="H373" s="287">
        <f>'прил10 (ведом 23-24)'!M25</f>
        <v>2128.5</v>
      </c>
      <c r="I373" s="287">
        <f>'прил10 (ведом 23-24)'!N25</f>
        <v>2128.5</v>
      </c>
    </row>
    <row r="374" spans="1:9" s="471" customFormat="1" ht="36" x14ac:dyDescent="0.35">
      <c r="A374" s="461"/>
      <c r="B374" s="472" t="s">
        <v>56</v>
      </c>
      <c r="C374" s="272" t="s">
        <v>43</v>
      </c>
      <c r="D374" s="273" t="s">
        <v>47</v>
      </c>
      <c r="E374" s="273" t="s">
        <v>41</v>
      </c>
      <c r="F374" s="274" t="s">
        <v>46</v>
      </c>
      <c r="G374" s="42"/>
      <c r="H374" s="287">
        <f>H375+H381+H383+H385+H388+H379+H390</f>
        <v>76717.299999999988</v>
      </c>
      <c r="I374" s="287">
        <f>I375+I381+I383+I385+I388+I379+I390</f>
        <v>76797.899999999994</v>
      </c>
    </row>
    <row r="375" spans="1:9" s="471" customFormat="1" ht="36" x14ac:dyDescent="0.35">
      <c r="A375" s="461"/>
      <c r="B375" s="472" t="s">
        <v>49</v>
      </c>
      <c r="C375" s="272" t="s">
        <v>43</v>
      </c>
      <c r="D375" s="273" t="s">
        <v>47</v>
      </c>
      <c r="E375" s="273" t="s">
        <v>41</v>
      </c>
      <c r="F375" s="274" t="s">
        <v>50</v>
      </c>
      <c r="G375" s="42"/>
      <c r="H375" s="287">
        <f>SUM(H376:H378)</f>
        <v>71195.999999999985</v>
      </c>
      <c r="I375" s="287">
        <f>SUM(I376:I378)</f>
        <v>71279.799999999988</v>
      </c>
    </row>
    <row r="376" spans="1:9" s="471" customFormat="1" ht="90" x14ac:dyDescent="0.35">
      <c r="A376" s="461"/>
      <c r="B376" s="472" t="s">
        <v>51</v>
      </c>
      <c r="C376" s="272" t="s">
        <v>43</v>
      </c>
      <c r="D376" s="273" t="s">
        <v>47</v>
      </c>
      <c r="E376" s="273" t="s">
        <v>41</v>
      </c>
      <c r="F376" s="274" t="s">
        <v>50</v>
      </c>
      <c r="G376" s="42" t="s">
        <v>52</v>
      </c>
      <c r="H376" s="287">
        <f>'прил10 (ведом 23-24)'!M31</f>
        <v>65378.2</v>
      </c>
      <c r="I376" s="287">
        <f>'прил10 (ведом 23-24)'!N31</f>
        <v>65378.2</v>
      </c>
    </row>
    <row r="377" spans="1:9" ht="36" x14ac:dyDescent="0.35">
      <c r="A377" s="461"/>
      <c r="B377" s="472" t="s">
        <v>57</v>
      </c>
      <c r="C377" s="272" t="s">
        <v>43</v>
      </c>
      <c r="D377" s="273" t="s">
        <v>47</v>
      </c>
      <c r="E377" s="273" t="s">
        <v>41</v>
      </c>
      <c r="F377" s="274" t="s">
        <v>50</v>
      </c>
      <c r="G377" s="42" t="s">
        <v>58</v>
      </c>
      <c r="H377" s="287">
        <f>'прил10 (ведом 23-24)'!M32</f>
        <v>5716.9</v>
      </c>
      <c r="I377" s="287">
        <f>'прил10 (ведом 23-24)'!N32</f>
        <v>5800.7</v>
      </c>
    </row>
    <row r="378" spans="1:9" ht="18" x14ac:dyDescent="0.35">
      <c r="A378" s="461"/>
      <c r="B378" s="285" t="s">
        <v>59</v>
      </c>
      <c r="C378" s="272" t="s">
        <v>43</v>
      </c>
      <c r="D378" s="273" t="s">
        <v>47</v>
      </c>
      <c r="E378" s="273" t="s">
        <v>41</v>
      </c>
      <c r="F378" s="274" t="s">
        <v>50</v>
      </c>
      <c r="G378" s="42" t="s">
        <v>60</v>
      </c>
      <c r="H378" s="287">
        <f>'прил10 (ведом 23-24)'!M33</f>
        <v>100.9</v>
      </c>
      <c r="I378" s="287">
        <f>'прил10 (ведом 23-24)'!N33</f>
        <v>100.9</v>
      </c>
    </row>
    <row r="379" spans="1:9" s="471" customFormat="1" ht="72" x14ac:dyDescent="0.35">
      <c r="A379" s="461"/>
      <c r="B379" s="285" t="s">
        <v>410</v>
      </c>
      <c r="C379" s="272" t="s">
        <v>43</v>
      </c>
      <c r="D379" s="273" t="s">
        <v>47</v>
      </c>
      <c r="E379" s="273" t="s">
        <v>41</v>
      </c>
      <c r="F379" s="274" t="s">
        <v>409</v>
      </c>
      <c r="G379" s="42"/>
      <c r="H379" s="287">
        <f>H380</f>
        <v>24.700000000000003</v>
      </c>
      <c r="I379" s="287">
        <f>I380</f>
        <v>21.5</v>
      </c>
    </row>
    <row r="380" spans="1:9" s="471" customFormat="1" ht="36" x14ac:dyDescent="0.35">
      <c r="A380" s="461"/>
      <c r="B380" s="285" t="s">
        <v>57</v>
      </c>
      <c r="C380" s="272" t="s">
        <v>43</v>
      </c>
      <c r="D380" s="273" t="s">
        <v>47</v>
      </c>
      <c r="E380" s="273" t="s">
        <v>41</v>
      </c>
      <c r="F380" s="274" t="s">
        <v>409</v>
      </c>
      <c r="G380" s="42" t="s">
        <v>58</v>
      </c>
      <c r="H380" s="287">
        <f>'прил10 (ведом 23-24)'!M54</f>
        <v>24.700000000000003</v>
      </c>
      <c r="I380" s="287">
        <f>'прил10 (ведом 23-24)'!N54</f>
        <v>21.5</v>
      </c>
    </row>
    <row r="381" spans="1:9" ht="90" x14ac:dyDescent="0.35">
      <c r="A381" s="461"/>
      <c r="B381" s="472" t="s">
        <v>518</v>
      </c>
      <c r="C381" s="272" t="s">
        <v>43</v>
      </c>
      <c r="D381" s="273" t="s">
        <v>47</v>
      </c>
      <c r="E381" s="273" t="s">
        <v>41</v>
      </c>
      <c r="F381" s="274" t="s">
        <v>267</v>
      </c>
      <c r="G381" s="42"/>
      <c r="H381" s="287">
        <f>H382</f>
        <v>63</v>
      </c>
      <c r="I381" s="287">
        <f>I382</f>
        <v>63</v>
      </c>
    </row>
    <row r="382" spans="1:9" ht="36" x14ac:dyDescent="0.35">
      <c r="A382" s="461"/>
      <c r="B382" s="472" t="s">
        <v>57</v>
      </c>
      <c r="C382" s="272" t="s">
        <v>43</v>
      </c>
      <c r="D382" s="273" t="s">
        <v>47</v>
      </c>
      <c r="E382" s="273" t="s">
        <v>41</v>
      </c>
      <c r="F382" s="274" t="s">
        <v>267</v>
      </c>
      <c r="G382" s="42" t="s">
        <v>58</v>
      </c>
      <c r="H382" s="287">
        <f>'прил10 (ведом 23-24)'!M35</f>
        <v>63</v>
      </c>
      <c r="I382" s="287">
        <f>'прил10 (ведом 23-24)'!N35</f>
        <v>63</v>
      </c>
    </row>
    <row r="383" spans="1:9" ht="177" customHeight="1" x14ac:dyDescent="0.35">
      <c r="A383" s="461"/>
      <c r="B383" s="553" t="s">
        <v>526</v>
      </c>
      <c r="C383" s="272" t="s">
        <v>43</v>
      </c>
      <c r="D383" s="273" t="s">
        <v>47</v>
      </c>
      <c r="E383" s="273" t="s">
        <v>41</v>
      </c>
      <c r="F383" s="274" t="s">
        <v>61</v>
      </c>
      <c r="G383" s="42"/>
      <c r="H383" s="287">
        <f>H384</f>
        <v>723.4</v>
      </c>
      <c r="I383" s="287">
        <f>I384</f>
        <v>723.4</v>
      </c>
    </row>
    <row r="384" spans="1:9" ht="90" x14ac:dyDescent="0.35">
      <c r="A384" s="461"/>
      <c r="B384" s="285" t="s">
        <v>51</v>
      </c>
      <c r="C384" s="272" t="s">
        <v>43</v>
      </c>
      <c r="D384" s="273" t="s">
        <v>47</v>
      </c>
      <c r="E384" s="273" t="s">
        <v>41</v>
      </c>
      <c r="F384" s="274" t="s">
        <v>61</v>
      </c>
      <c r="G384" s="42" t="s">
        <v>52</v>
      </c>
      <c r="H384" s="287">
        <f>'прил10 (ведом 23-24)'!M37</f>
        <v>723.4</v>
      </c>
      <c r="I384" s="287">
        <f>'прил10 (ведом 23-24)'!N37</f>
        <v>723.4</v>
      </c>
    </row>
    <row r="385" spans="1:9" ht="54" x14ac:dyDescent="0.35">
      <c r="A385" s="461"/>
      <c r="B385" s="285" t="s">
        <v>472</v>
      </c>
      <c r="C385" s="272" t="s">
        <v>43</v>
      </c>
      <c r="D385" s="273" t="s">
        <v>47</v>
      </c>
      <c r="E385" s="273" t="s">
        <v>41</v>
      </c>
      <c r="F385" s="274" t="s">
        <v>63</v>
      </c>
      <c r="G385" s="42"/>
      <c r="H385" s="287">
        <f>H386+H387</f>
        <v>723.59999999999991</v>
      </c>
      <c r="I385" s="287">
        <f>I386+I387</f>
        <v>723.59999999999991</v>
      </c>
    </row>
    <row r="386" spans="1:9" ht="90" x14ac:dyDescent="0.35">
      <c r="A386" s="461"/>
      <c r="B386" s="285" t="s">
        <v>51</v>
      </c>
      <c r="C386" s="272" t="s">
        <v>43</v>
      </c>
      <c r="D386" s="273" t="s">
        <v>47</v>
      </c>
      <c r="E386" s="273" t="s">
        <v>41</v>
      </c>
      <c r="F386" s="274" t="s">
        <v>63</v>
      </c>
      <c r="G386" s="42" t="s">
        <v>52</v>
      </c>
      <c r="H386" s="287">
        <f>'прил10 (ведом 23-24)'!M39</f>
        <v>719.19999999999993</v>
      </c>
      <c r="I386" s="287">
        <f>'прил10 (ведом 23-24)'!N39</f>
        <v>719.19999999999993</v>
      </c>
    </row>
    <row r="387" spans="1:9" ht="36" x14ac:dyDescent="0.35">
      <c r="A387" s="461"/>
      <c r="B387" s="472" t="s">
        <v>57</v>
      </c>
      <c r="C387" s="272" t="s">
        <v>43</v>
      </c>
      <c r="D387" s="273" t="s">
        <v>47</v>
      </c>
      <c r="E387" s="273" t="s">
        <v>41</v>
      </c>
      <c r="F387" s="274" t="s">
        <v>63</v>
      </c>
      <c r="G387" s="42" t="s">
        <v>58</v>
      </c>
      <c r="H387" s="287">
        <f>'прил10 (ведом 23-24)'!M40</f>
        <v>4.4000000000000004</v>
      </c>
      <c r="I387" s="287">
        <f>'прил10 (ведом 23-24)'!N40</f>
        <v>4.4000000000000004</v>
      </c>
    </row>
    <row r="388" spans="1:9" ht="147" customHeight="1" x14ac:dyDescent="0.35">
      <c r="A388" s="461"/>
      <c r="B388" s="285" t="s">
        <v>387</v>
      </c>
      <c r="C388" s="272" t="s">
        <v>43</v>
      </c>
      <c r="D388" s="273" t="s">
        <v>47</v>
      </c>
      <c r="E388" s="273" t="s">
        <v>41</v>
      </c>
      <c r="F388" s="274" t="s">
        <v>386</v>
      </c>
      <c r="G388" s="42"/>
      <c r="H388" s="287">
        <f>H389</f>
        <v>63</v>
      </c>
      <c r="I388" s="287">
        <f>I389</f>
        <v>63</v>
      </c>
    </row>
    <row r="389" spans="1:9" ht="36" x14ac:dyDescent="0.35">
      <c r="A389" s="461"/>
      <c r="B389" s="285" t="s">
        <v>57</v>
      </c>
      <c r="C389" s="272" t="s">
        <v>43</v>
      </c>
      <c r="D389" s="273" t="s">
        <v>47</v>
      </c>
      <c r="E389" s="273" t="s">
        <v>41</v>
      </c>
      <c r="F389" s="274" t="s">
        <v>386</v>
      </c>
      <c r="G389" s="42" t="s">
        <v>58</v>
      </c>
      <c r="H389" s="287">
        <f>'прил10 (ведом 23-24)'!M42</f>
        <v>63</v>
      </c>
      <c r="I389" s="287">
        <f>'прил10 (ведом 23-24)'!N42</f>
        <v>63</v>
      </c>
    </row>
    <row r="390" spans="1:9" ht="72" x14ac:dyDescent="0.35">
      <c r="A390" s="461"/>
      <c r="B390" s="472" t="s">
        <v>62</v>
      </c>
      <c r="C390" s="272" t="s">
        <v>43</v>
      </c>
      <c r="D390" s="273" t="s">
        <v>47</v>
      </c>
      <c r="E390" s="273" t="s">
        <v>41</v>
      </c>
      <c r="F390" s="274" t="s">
        <v>711</v>
      </c>
      <c r="G390" s="42"/>
      <c r="H390" s="287">
        <f>H391+H392</f>
        <v>3923.6</v>
      </c>
      <c r="I390" s="287">
        <f>I391+I392</f>
        <v>3923.6</v>
      </c>
    </row>
    <row r="391" spans="1:9" ht="90" x14ac:dyDescent="0.35">
      <c r="A391" s="461"/>
      <c r="B391" s="472" t="s">
        <v>51</v>
      </c>
      <c r="C391" s="272" t="s">
        <v>43</v>
      </c>
      <c r="D391" s="273" t="s">
        <v>47</v>
      </c>
      <c r="E391" s="273" t="s">
        <v>41</v>
      </c>
      <c r="F391" s="274" t="s">
        <v>711</v>
      </c>
      <c r="G391" s="42" t="s">
        <v>52</v>
      </c>
      <c r="H391" s="287">
        <f>'прил10 (ведом 23-24)'!M44</f>
        <v>3732</v>
      </c>
      <c r="I391" s="287">
        <f>'прил10 (ведом 23-24)'!N44</f>
        <v>3732</v>
      </c>
    </row>
    <row r="392" spans="1:9" ht="36" x14ac:dyDescent="0.35">
      <c r="A392" s="461"/>
      <c r="B392" s="472" t="s">
        <v>57</v>
      </c>
      <c r="C392" s="273" t="s">
        <v>43</v>
      </c>
      <c r="D392" s="273" t="s">
        <v>47</v>
      </c>
      <c r="E392" s="273" t="s">
        <v>41</v>
      </c>
      <c r="F392" s="274" t="s">
        <v>711</v>
      </c>
      <c r="G392" s="42" t="s">
        <v>58</v>
      </c>
      <c r="H392" s="287">
        <f>'прил10 (ведом 23-24)'!M45</f>
        <v>191.6</v>
      </c>
      <c r="I392" s="287">
        <f>'прил10 (ведом 23-24)'!N45</f>
        <v>191.6</v>
      </c>
    </row>
    <row r="393" spans="1:9" ht="18" x14ac:dyDescent="0.35">
      <c r="A393" s="461"/>
      <c r="B393" s="285" t="s">
        <v>64</v>
      </c>
      <c r="C393" s="272" t="s">
        <v>43</v>
      </c>
      <c r="D393" s="273" t="s">
        <v>47</v>
      </c>
      <c r="E393" s="273" t="s">
        <v>65</v>
      </c>
      <c r="F393" s="274" t="s">
        <v>46</v>
      </c>
      <c r="G393" s="42"/>
      <c r="H393" s="287">
        <f>H394+H396</f>
        <v>1375.2</v>
      </c>
      <c r="I393" s="287">
        <f>I394+I396</f>
        <v>1332.2</v>
      </c>
    </row>
    <row r="394" spans="1:9" ht="36" x14ac:dyDescent="0.35">
      <c r="A394" s="461"/>
      <c r="B394" s="285" t="s">
        <v>49</v>
      </c>
      <c r="C394" s="272" t="s">
        <v>43</v>
      </c>
      <c r="D394" s="273" t="s">
        <v>47</v>
      </c>
      <c r="E394" s="273" t="s">
        <v>65</v>
      </c>
      <c r="F394" s="274" t="s">
        <v>50</v>
      </c>
      <c r="G394" s="42"/>
      <c r="H394" s="287">
        <f>H395</f>
        <v>127.4</v>
      </c>
      <c r="I394" s="287">
        <f>I395</f>
        <v>84.4</v>
      </c>
    </row>
    <row r="395" spans="1:9" ht="36" x14ac:dyDescent="0.35">
      <c r="A395" s="461"/>
      <c r="B395" s="285" t="s">
        <v>57</v>
      </c>
      <c r="C395" s="272" t="s">
        <v>43</v>
      </c>
      <c r="D395" s="273" t="s">
        <v>47</v>
      </c>
      <c r="E395" s="273" t="s">
        <v>65</v>
      </c>
      <c r="F395" s="274" t="s">
        <v>50</v>
      </c>
      <c r="G395" s="42" t="s">
        <v>58</v>
      </c>
      <c r="H395" s="287">
        <f>'прил10 (ведом 23-24)'!M48</f>
        <v>127.4</v>
      </c>
      <c r="I395" s="287">
        <f>'прил10 (ведом 23-24)'!N48</f>
        <v>84.4</v>
      </c>
    </row>
    <row r="396" spans="1:9" ht="54" x14ac:dyDescent="0.35">
      <c r="A396" s="461"/>
      <c r="B396" s="485" t="s">
        <v>398</v>
      </c>
      <c r="C396" s="272" t="s">
        <v>43</v>
      </c>
      <c r="D396" s="273" t="s">
        <v>47</v>
      </c>
      <c r="E396" s="273" t="s">
        <v>65</v>
      </c>
      <c r="F396" s="274" t="s">
        <v>397</v>
      </c>
      <c r="G396" s="42"/>
      <c r="H396" s="287">
        <f>H397+H398</f>
        <v>1247.8</v>
      </c>
      <c r="I396" s="287">
        <f>I397+I398</f>
        <v>1247.8</v>
      </c>
    </row>
    <row r="397" spans="1:9" ht="36" x14ac:dyDescent="0.35">
      <c r="A397" s="461"/>
      <c r="B397" s="285" t="s">
        <v>57</v>
      </c>
      <c r="C397" s="272" t="s">
        <v>43</v>
      </c>
      <c r="D397" s="273" t="s">
        <v>47</v>
      </c>
      <c r="E397" s="273" t="s">
        <v>65</v>
      </c>
      <c r="F397" s="274" t="s">
        <v>397</v>
      </c>
      <c r="G397" s="42" t="s">
        <v>58</v>
      </c>
      <c r="H397" s="287">
        <f>'прил10 (ведом 23-24)'!M70</f>
        <v>1019.5</v>
      </c>
      <c r="I397" s="287">
        <f>'прил10 (ведом 23-24)'!N70</f>
        <v>1019.5</v>
      </c>
    </row>
    <row r="398" spans="1:9" ht="18" x14ac:dyDescent="0.35">
      <c r="A398" s="461"/>
      <c r="B398" s="285" t="s">
        <v>59</v>
      </c>
      <c r="C398" s="272" t="s">
        <v>43</v>
      </c>
      <c r="D398" s="273" t="s">
        <v>47</v>
      </c>
      <c r="E398" s="273" t="s">
        <v>65</v>
      </c>
      <c r="F398" s="274" t="s">
        <v>397</v>
      </c>
      <c r="G398" s="42" t="s">
        <v>60</v>
      </c>
      <c r="H398" s="287">
        <f>'прил10 (ведом 23-24)'!M71</f>
        <v>228.3</v>
      </c>
      <c r="I398" s="287">
        <f>'прил10 (ведом 23-24)'!N71</f>
        <v>228.3</v>
      </c>
    </row>
    <row r="399" spans="1:9" ht="18" x14ac:dyDescent="0.35">
      <c r="A399" s="461"/>
      <c r="B399" s="285" t="s">
        <v>66</v>
      </c>
      <c r="C399" s="272" t="s">
        <v>43</v>
      </c>
      <c r="D399" s="273" t="s">
        <v>47</v>
      </c>
      <c r="E399" s="273" t="s">
        <v>54</v>
      </c>
      <c r="F399" s="274" t="s">
        <v>46</v>
      </c>
      <c r="G399" s="42"/>
      <c r="H399" s="287">
        <f>H400+H402</f>
        <v>3011.6</v>
      </c>
      <c r="I399" s="287">
        <f>I400+I402</f>
        <v>3011.6</v>
      </c>
    </row>
    <row r="400" spans="1:9" ht="54" x14ac:dyDescent="0.35">
      <c r="A400" s="461"/>
      <c r="B400" s="500" t="s">
        <v>361</v>
      </c>
      <c r="C400" s="272" t="s">
        <v>43</v>
      </c>
      <c r="D400" s="273" t="s">
        <v>47</v>
      </c>
      <c r="E400" s="273" t="s">
        <v>54</v>
      </c>
      <c r="F400" s="274" t="s">
        <v>107</v>
      </c>
      <c r="G400" s="42"/>
      <c r="H400" s="287">
        <f>H401</f>
        <v>1016.8</v>
      </c>
      <c r="I400" s="287">
        <f>I401</f>
        <v>1016.8</v>
      </c>
    </row>
    <row r="401" spans="1:9" ht="36" x14ac:dyDescent="0.35">
      <c r="A401" s="461"/>
      <c r="B401" s="285" t="s">
        <v>57</v>
      </c>
      <c r="C401" s="272" t="s">
        <v>43</v>
      </c>
      <c r="D401" s="273" t="s">
        <v>47</v>
      </c>
      <c r="E401" s="273" t="s">
        <v>54</v>
      </c>
      <c r="F401" s="274" t="s">
        <v>107</v>
      </c>
      <c r="G401" s="42" t="s">
        <v>58</v>
      </c>
      <c r="H401" s="287">
        <f>'прил10 (ведом 23-24)'!M74</f>
        <v>1016.8</v>
      </c>
      <c r="I401" s="287">
        <f>'прил10 (ведом 23-24)'!N74</f>
        <v>1016.8</v>
      </c>
    </row>
    <row r="402" spans="1:9" ht="54" x14ac:dyDescent="0.35">
      <c r="A402" s="461"/>
      <c r="B402" s="285" t="s">
        <v>363</v>
      </c>
      <c r="C402" s="272" t="s">
        <v>43</v>
      </c>
      <c r="D402" s="273" t="s">
        <v>47</v>
      </c>
      <c r="E402" s="273" t="s">
        <v>54</v>
      </c>
      <c r="F402" s="274" t="s">
        <v>362</v>
      </c>
      <c r="G402" s="42"/>
      <c r="H402" s="287">
        <f>'прил10 (ведом 23-24)'!M75</f>
        <v>1994.8</v>
      </c>
      <c r="I402" s="287">
        <f>'прил10 (ведом 23-24)'!N75</f>
        <v>1994.8</v>
      </c>
    </row>
    <row r="403" spans="1:9" ht="36" x14ac:dyDescent="0.35">
      <c r="A403" s="461"/>
      <c r="B403" s="285" t="s">
        <v>57</v>
      </c>
      <c r="C403" s="272" t="s">
        <v>43</v>
      </c>
      <c r="D403" s="273" t="s">
        <v>47</v>
      </c>
      <c r="E403" s="273" t="s">
        <v>54</v>
      </c>
      <c r="F403" s="274" t="s">
        <v>362</v>
      </c>
      <c r="G403" s="42" t="s">
        <v>58</v>
      </c>
      <c r="H403" s="287">
        <f>'прил10 (ведом 23-24)'!M76</f>
        <v>1994.8</v>
      </c>
      <c r="I403" s="287">
        <f>'прил10 (ведом 23-24)'!N76</f>
        <v>1994.8</v>
      </c>
    </row>
    <row r="404" spans="1:9" ht="69.599999999999994" customHeight="1" x14ac:dyDescent="0.35">
      <c r="A404" s="506"/>
      <c r="B404" s="519" t="s">
        <v>302</v>
      </c>
      <c r="C404" s="486" t="s">
        <v>43</v>
      </c>
      <c r="D404" s="507" t="s">
        <v>47</v>
      </c>
      <c r="E404" s="507" t="s">
        <v>83</v>
      </c>
      <c r="F404" s="520" t="s">
        <v>46</v>
      </c>
      <c r="G404" s="521"/>
      <c r="H404" s="287">
        <f>H405</f>
        <v>5209.5</v>
      </c>
      <c r="I404" s="287">
        <f>I405</f>
        <v>5213.1000000000004</v>
      </c>
    </row>
    <row r="405" spans="1:9" ht="36" x14ac:dyDescent="0.35">
      <c r="A405" s="506"/>
      <c r="B405" s="472" t="s">
        <v>540</v>
      </c>
      <c r="C405" s="486" t="s">
        <v>43</v>
      </c>
      <c r="D405" s="507" t="s">
        <v>47</v>
      </c>
      <c r="E405" s="507" t="s">
        <v>83</v>
      </c>
      <c r="F405" s="520" t="s">
        <v>93</v>
      </c>
      <c r="G405" s="521"/>
      <c r="H405" s="287">
        <f>SUM(H406:H407)</f>
        <v>5209.5</v>
      </c>
      <c r="I405" s="287">
        <f>SUM(I406:I407)</f>
        <v>5213.1000000000004</v>
      </c>
    </row>
    <row r="406" spans="1:9" ht="90" x14ac:dyDescent="0.35">
      <c r="A406" s="506"/>
      <c r="B406" s="519" t="s">
        <v>51</v>
      </c>
      <c r="C406" s="486" t="s">
        <v>43</v>
      </c>
      <c r="D406" s="507" t="s">
        <v>47</v>
      </c>
      <c r="E406" s="507" t="s">
        <v>83</v>
      </c>
      <c r="F406" s="520" t="s">
        <v>93</v>
      </c>
      <c r="G406" s="521" t="s">
        <v>52</v>
      </c>
      <c r="H406" s="287">
        <f>'прил10 (ведом 23-24)'!M239</f>
        <v>4729.8</v>
      </c>
      <c r="I406" s="287">
        <f>'прил10 (ведом 23-24)'!N239</f>
        <v>4729.8</v>
      </c>
    </row>
    <row r="407" spans="1:9" ht="36" x14ac:dyDescent="0.35">
      <c r="A407" s="506"/>
      <c r="B407" s="285" t="s">
        <v>57</v>
      </c>
      <c r="C407" s="486" t="s">
        <v>43</v>
      </c>
      <c r="D407" s="507" t="s">
        <v>47</v>
      </c>
      <c r="E407" s="507" t="s">
        <v>83</v>
      </c>
      <c r="F407" s="520" t="s">
        <v>93</v>
      </c>
      <c r="G407" s="521" t="s">
        <v>58</v>
      </c>
      <c r="H407" s="287">
        <f>'прил10 (ведом 23-24)'!M240</f>
        <v>479.7</v>
      </c>
      <c r="I407" s="287">
        <f>'прил10 (ведом 23-24)'!N240</f>
        <v>483.3</v>
      </c>
    </row>
    <row r="408" spans="1:9" ht="36" x14ac:dyDescent="0.35">
      <c r="A408" s="506"/>
      <c r="B408" s="285" t="s">
        <v>337</v>
      </c>
      <c r="C408" s="272" t="s">
        <v>43</v>
      </c>
      <c r="D408" s="273" t="s">
        <v>47</v>
      </c>
      <c r="E408" s="273" t="s">
        <v>90</v>
      </c>
      <c r="F408" s="274" t="s">
        <v>46</v>
      </c>
      <c r="G408" s="42"/>
      <c r="H408" s="287">
        <f>H409+H412</f>
        <v>7234</v>
      </c>
      <c r="I408" s="287">
        <f>I409+I412</f>
        <v>5543.3</v>
      </c>
    </row>
    <row r="409" spans="1:9" ht="36" x14ac:dyDescent="0.35">
      <c r="A409" s="506"/>
      <c r="B409" s="472" t="s">
        <v>540</v>
      </c>
      <c r="C409" s="272" t="s">
        <v>43</v>
      </c>
      <c r="D409" s="273" t="s">
        <v>47</v>
      </c>
      <c r="E409" s="273" t="s">
        <v>90</v>
      </c>
      <c r="F409" s="274" t="s">
        <v>93</v>
      </c>
      <c r="G409" s="42"/>
      <c r="H409" s="287">
        <f>SUM(H410:H411)</f>
        <v>5491</v>
      </c>
      <c r="I409" s="287">
        <f>SUM(I410:I411)</f>
        <v>5543.3</v>
      </c>
    </row>
    <row r="410" spans="1:9" ht="90" x14ac:dyDescent="0.35">
      <c r="A410" s="506"/>
      <c r="B410" s="285" t="s">
        <v>51</v>
      </c>
      <c r="C410" s="272" t="s">
        <v>43</v>
      </c>
      <c r="D410" s="273" t="s">
        <v>47</v>
      </c>
      <c r="E410" s="273" t="s">
        <v>90</v>
      </c>
      <c r="F410" s="274" t="s">
        <v>93</v>
      </c>
      <c r="G410" s="42" t="s">
        <v>52</v>
      </c>
      <c r="H410" s="287">
        <f>'прил10 (ведом 23-24)'!M148</f>
        <v>5398</v>
      </c>
      <c r="I410" s="287">
        <f>'прил10 (ведом 23-24)'!N148</f>
        <v>5398</v>
      </c>
    </row>
    <row r="411" spans="1:9" ht="36" x14ac:dyDescent="0.35">
      <c r="A411" s="506"/>
      <c r="B411" s="285" t="s">
        <v>57</v>
      </c>
      <c r="C411" s="272" t="s">
        <v>43</v>
      </c>
      <c r="D411" s="273" t="s">
        <v>47</v>
      </c>
      <c r="E411" s="273" t="s">
        <v>90</v>
      </c>
      <c r="F411" s="274" t="s">
        <v>93</v>
      </c>
      <c r="G411" s="42" t="s">
        <v>58</v>
      </c>
      <c r="H411" s="287">
        <f>'прил10 (ведом 23-24)'!M149</f>
        <v>93.000000000000014</v>
      </c>
      <c r="I411" s="287">
        <f>'прил10 (ведом 23-24)'!N149</f>
        <v>145.30000000000001</v>
      </c>
    </row>
    <row r="412" spans="1:9" ht="36" x14ac:dyDescent="0.35">
      <c r="A412" s="506"/>
      <c r="B412" s="285" t="s">
        <v>710</v>
      </c>
      <c r="C412" s="272" t="s">
        <v>43</v>
      </c>
      <c r="D412" s="273" t="s">
        <v>47</v>
      </c>
      <c r="E412" s="273" t="s">
        <v>90</v>
      </c>
      <c r="F412" s="639" t="s">
        <v>709</v>
      </c>
      <c r="G412" s="42"/>
      <c r="H412" s="287">
        <f>H413</f>
        <v>1743</v>
      </c>
      <c r="I412" s="287">
        <f>I413</f>
        <v>0</v>
      </c>
    </row>
    <row r="413" spans="1:9" ht="36" x14ac:dyDescent="0.35">
      <c r="A413" s="506"/>
      <c r="B413" s="285" t="s">
        <v>57</v>
      </c>
      <c r="C413" s="272" t="s">
        <v>43</v>
      </c>
      <c r="D413" s="273" t="s">
        <v>47</v>
      </c>
      <c r="E413" s="273" t="s">
        <v>90</v>
      </c>
      <c r="F413" s="274" t="s">
        <v>709</v>
      </c>
      <c r="G413" s="42" t="s">
        <v>58</v>
      </c>
      <c r="H413" s="287">
        <f>'прил10 (ведом 23-24)'!M151</f>
        <v>1743</v>
      </c>
      <c r="I413" s="287">
        <f>'прил10 (ведом 23-24)'!N151</f>
        <v>0</v>
      </c>
    </row>
    <row r="414" spans="1:9" ht="36" x14ac:dyDescent="0.35">
      <c r="A414" s="506"/>
      <c r="B414" s="285" t="s">
        <v>554</v>
      </c>
      <c r="C414" s="272" t="s">
        <v>43</v>
      </c>
      <c r="D414" s="273" t="s">
        <v>47</v>
      </c>
      <c r="E414" s="273" t="s">
        <v>475</v>
      </c>
      <c r="F414" s="274" t="s">
        <v>46</v>
      </c>
      <c r="G414" s="42"/>
      <c r="H414" s="287">
        <f>H415</f>
        <v>120.1</v>
      </c>
      <c r="I414" s="287">
        <f>I415</f>
        <v>120.1</v>
      </c>
    </row>
    <row r="415" spans="1:9" ht="36" x14ac:dyDescent="0.35">
      <c r="A415" s="506"/>
      <c r="B415" s="500" t="s">
        <v>129</v>
      </c>
      <c r="C415" s="272" t="s">
        <v>43</v>
      </c>
      <c r="D415" s="273" t="s">
        <v>47</v>
      </c>
      <c r="E415" s="273" t="s">
        <v>475</v>
      </c>
      <c r="F415" s="274" t="s">
        <v>92</v>
      </c>
      <c r="G415" s="42"/>
      <c r="H415" s="287">
        <f>H416</f>
        <v>120.1</v>
      </c>
      <c r="I415" s="287">
        <f>I416</f>
        <v>120.1</v>
      </c>
    </row>
    <row r="416" spans="1:9" ht="36" x14ac:dyDescent="0.35">
      <c r="A416" s="506"/>
      <c r="B416" s="285" t="s">
        <v>57</v>
      </c>
      <c r="C416" s="272" t="s">
        <v>43</v>
      </c>
      <c r="D416" s="273" t="s">
        <v>47</v>
      </c>
      <c r="E416" s="273" t="s">
        <v>475</v>
      </c>
      <c r="F416" s="274" t="s">
        <v>92</v>
      </c>
      <c r="G416" s="42" t="s">
        <v>58</v>
      </c>
      <c r="H416" s="287">
        <f>'прил10 (ведом 23-24)'!M79</f>
        <v>120.1</v>
      </c>
      <c r="I416" s="287">
        <f>'прил10 (ведом 23-24)'!N79</f>
        <v>120.1</v>
      </c>
    </row>
    <row r="417" spans="1:9" ht="36" x14ac:dyDescent="0.35">
      <c r="A417" s="506"/>
      <c r="B417" s="285" t="s">
        <v>544</v>
      </c>
      <c r="C417" s="272" t="s">
        <v>43</v>
      </c>
      <c r="D417" s="273" t="s">
        <v>47</v>
      </c>
      <c r="E417" s="273" t="s">
        <v>43</v>
      </c>
      <c r="F417" s="274" t="s">
        <v>46</v>
      </c>
      <c r="G417" s="42"/>
      <c r="H417" s="287">
        <f>H418</f>
        <v>60</v>
      </c>
      <c r="I417" s="287">
        <f>I418</f>
        <v>60</v>
      </c>
    </row>
    <row r="418" spans="1:9" ht="18" x14ac:dyDescent="0.35">
      <c r="A418" s="506"/>
      <c r="B418" s="500" t="s">
        <v>542</v>
      </c>
      <c r="C418" s="272" t="s">
        <v>43</v>
      </c>
      <c r="D418" s="273" t="s">
        <v>47</v>
      </c>
      <c r="E418" s="273" t="s">
        <v>43</v>
      </c>
      <c r="F418" s="274" t="s">
        <v>543</v>
      </c>
      <c r="G418" s="42"/>
      <c r="H418" s="287">
        <f>H419</f>
        <v>60</v>
      </c>
      <c r="I418" s="287">
        <f>I419</f>
        <v>60</v>
      </c>
    </row>
    <row r="419" spans="1:9" ht="36" x14ac:dyDescent="0.35">
      <c r="A419" s="506"/>
      <c r="B419" s="285" t="s">
        <v>57</v>
      </c>
      <c r="C419" s="272" t="s">
        <v>43</v>
      </c>
      <c r="D419" s="273" t="s">
        <v>47</v>
      </c>
      <c r="E419" s="273" t="s">
        <v>43</v>
      </c>
      <c r="F419" s="274" t="s">
        <v>543</v>
      </c>
      <c r="G419" s="42" t="s">
        <v>58</v>
      </c>
      <c r="H419" s="287">
        <f>'прил10 (ведом 23-24)'!M82</f>
        <v>60</v>
      </c>
      <c r="I419" s="287">
        <f>'прил10 (ведом 23-24)'!N82</f>
        <v>60</v>
      </c>
    </row>
    <row r="420" spans="1:9" ht="18" x14ac:dyDescent="0.35">
      <c r="A420" s="506"/>
      <c r="B420" s="285"/>
      <c r="C420" s="273"/>
      <c r="D420" s="273"/>
      <c r="E420" s="273"/>
      <c r="F420" s="274"/>
      <c r="G420" s="42"/>
      <c r="H420" s="287"/>
      <c r="I420" s="287"/>
    </row>
    <row r="421" spans="1:9" ht="38.4" customHeight="1" x14ac:dyDescent="0.35">
      <c r="A421" s="481">
        <v>16</v>
      </c>
      <c r="B421" s="511" t="s">
        <v>235</v>
      </c>
      <c r="C421" s="482" t="s">
        <v>236</v>
      </c>
      <c r="D421" s="482" t="s">
        <v>44</v>
      </c>
      <c r="E421" s="482" t="s">
        <v>45</v>
      </c>
      <c r="F421" s="483" t="s">
        <v>46</v>
      </c>
      <c r="G421" s="42"/>
      <c r="H421" s="337">
        <f t="shared" ref="H421:I424" si="14">H422</f>
        <v>53.4</v>
      </c>
      <c r="I421" s="337">
        <f t="shared" si="14"/>
        <v>53.4</v>
      </c>
    </row>
    <row r="422" spans="1:9" ht="18" x14ac:dyDescent="0.35">
      <c r="A422" s="506"/>
      <c r="B422" s="285" t="s">
        <v>345</v>
      </c>
      <c r="C422" s="272" t="s">
        <v>236</v>
      </c>
      <c r="D422" s="273" t="s">
        <v>47</v>
      </c>
      <c r="E422" s="273" t="s">
        <v>45</v>
      </c>
      <c r="F422" s="274" t="s">
        <v>46</v>
      </c>
      <c r="G422" s="42"/>
      <c r="H422" s="287">
        <f t="shared" si="14"/>
        <v>53.4</v>
      </c>
      <c r="I422" s="287">
        <f t="shared" si="14"/>
        <v>53.4</v>
      </c>
    </row>
    <row r="423" spans="1:9" ht="54" x14ac:dyDescent="0.35">
      <c r="A423" s="506"/>
      <c r="B423" s="285" t="s">
        <v>288</v>
      </c>
      <c r="C423" s="272" t="s">
        <v>236</v>
      </c>
      <c r="D423" s="273" t="s">
        <v>47</v>
      </c>
      <c r="E423" s="273" t="s">
        <v>39</v>
      </c>
      <c r="F423" s="274" t="s">
        <v>46</v>
      </c>
      <c r="G423" s="42"/>
      <c r="H423" s="287">
        <f t="shared" si="14"/>
        <v>53.4</v>
      </c>
      <c r="I423" s="287">
        <f t="shared" si="14"/>
        <v>53.4</v>
      </c>
    </row>
    <row r="424" spans="1:9" ht="36" x14ac:dyDescent="0.35">
      <c r="A424" s="506"/>
      <c r="B424" s="285" t="s">
        <v>237</v>
      </c>
      <c r="C424" s="272" t="s">
        <v>236</v>
      </c>
      <c r="D424" s="273" t="s">
        <v>47</v>
      </c>
      <c r="E424" s="273" t="s">
        <v>39</v>
      </c>
      <c r="F424" s="274" t="s">
        <v>282</v>
      </c>
      <c r="G424" s="42"/>
      <c r="H424" s="287">
        <f t="shared" si="14"/>
        <v>53.4</v>
      </c>
      <c r="I424" s="287">
        <f t="shared" si="14"/>
        <v>53.4</v>
      </c>
    </row>
    <row r="425" spans="1:9" ht="36" x14ac:dyDescent="0.35">
      <c r="A425" s="506"/>
      <c r="B425" s="285" t="s">
        <v>78</v>
      </c>
      <c r="C425" s="272" t="s">
        <v>236</v>
      </c>
      <c r="D425" s="273" t="s">
        <v>47</v>
      </c>
      <c r="E425" s="273" t="s">
        <v>39</v>
      </c>
      <c r="F425" s="274" t="s">
        <v>282</v>
      </c>
      <c r="G425" s="42" t="s">
        <v>79</v>
      </c>
      <c r="H425" s="287">
        <f>'прил10 (ведом 23-24)'!M307</f>
        <v>53.4</v>
      </c>
      <c r="I425" s="287">
        <f>'прил10 (ведом 23-24)'!N307</f>
        <v>53.4</v>
      </c>
    </row>
    <row r="426" spans="1:9" ht="18" x14ac:dyDescent="0.35">
      <c r="A426" s="506"/>
      <c r="B426" s="519"/>
      <c r="C426" s="487"/>
      <c r="D426" s="507"/>
      <c r="E426" s="507"/>
      <c r="F426" s="520"/>
      <c r="G426" s="521"/>
      <c r="H426" s="287"/>
      <c r="I426" s="287"/>
    </row>
    <row r="427" spans="1:9" ht="34.799999999999997" x14ac:dyDescent="0.3">
      <c r="A427" s="481">
        <v>17</v>
      </c>
      <c r="B427" s="558" t="s">
        <v>132</v>
      </c>
      <c r="C427" s="482" t="s">
        <v>133</v>
      </c>
      <c r="D427" s="482" t="s">
        <v>44</v>
      </c>
      <c r="E427" s="482" t="s">
        <v>45</v>
      </c>
      <c r="F427" s="482" t="s">
        <v>46</v>
      </c>
      <c r="G427" s="470"/>
      <c r="H427" s="337">
        <f>H428</f>
        <v>4387.9000000000005</v>
      </c>
      <c r="I427" s="337">
        <f>I428</f>
        <v>4388</v>
      </c>
    </row>
    <row r="428" spans="1:9" ht="36" x14ac:dyDescent="0.35">
      <c r="A428" s="461"/>
      <c r="B428" s="499" t="s">
        <v>134</v>
      </c>
      <c r="C428" s="272" t="s">
        <v>133</v>
      </c>
      <c r="D428" s="273" t="s">
        <v>47</v>
      </c>
      <c r="E428" s="273" t="s">
        <v>45</v>
      </c>
      <c r="F428" s="274" t="s">
        <v>46</v>
      </c>
      <c r="G428" s="42"/>
      <c r="H428" s="287">
        <f>H429</f>
        <v>4387.9000000000005</v>
      </c>
      <c r="I428" s="287">
        <f>I429</f>
        <v>4388</v>
      </c>
    </row>
    <row r="429" spans="1:9" ht="36" x14ac:dyDescent="0.35">
      <c r="A429" s="461"/>
      <c r="B429" s="472" t="s">
        <v>49</v>
      </c>
      <c r="C429" s="272" t="s">
        <v>133</v>
      </c>
      <c r="D429" s="273" t="s">
        <v>47</v>
      </c>
      <c r="E429" s="273" t="s">
        <v>45</v>
      </c>
      <c r="F429" s="274" t="s">
        <v>50</v>
      </c>
      <c r="G429" s="42"/>
      <c r="H429" s="287">
        <f>H430+H431+H432</f>
        <v>4387.9000000000005</v>
      </c>
      <c r="I429" s="287">
        <f>I430+I431+I432</f>
        <v>4388</v>
      </c>
    </row>
    <row r="430" spans="1:9" ht="90" x14ac:dyDescent="0.35">
      <c r="A430" s="461"/>
      <c r="B430" s="501" t="s">
        <v>51</v>
      </c>
      <c r="C430" s="272" t="s">
        <v>133</v>
      </c>
      <c r="D430" s="273" t="s">
        <v>47</v>
      </c>
      <c r="E430" s="273" t="s">
        <v>45</v>
      </c>
      <c r="F430" s="274" t="s">
        <v>50</v>
      </c>
      <c r="G430" s="42" t="s">
        <v>52</v>
      </c>
      <c r="H430" s="287">
        <f>'прил10 (ведом 23-24)'!M205</f>
        <v>4137.8</v>
      </c>
      <c r="I430" s="287">
        <f>'прил10 (ведом 23-24)'!N205</f>
        <v>4137.8</v>
      </c>
    </row>
    <row r="431" spans="1:9" ht="36" x14ac:dyDescent="0.35">
      <c r="A431" s="461"/>
      <c r="B431" s="285" t="s">
        <v>57</v>
      </c>
      <c r="C431" s="272" t="s">
        <v>133</v>
      </c>
      <c r="D431" s="273" t="s">
        <v>47</v>
      </c>
      <c r="E431" s="273" t="s">
        <v>45</v>
      </c>
      <c r="F431" s="274" t="s">
        <v>50</v>
      </c>
      <c r="G431" s="42" t="s">
        <v>58</v>
      </c>
      <c r="H431" s="287">
        <f>'прил10 (ведом 23-24)'!M206</f>
        <v>240.1</v>
      </c>
      <c r="I431" s="287">
        <f>'прил10 (ведом 23-24)'!N206</f>
        <v>240.2</v>
      </c>
    </row>
    <row r="432" spans="1:9" ht="18" x14ac:dyDescent="0.35">
      <c r="A432" s="461"/>
      <c r="B432" s="285" t="s">
        <v>59</v>
      </c>
      <c r="C432" s="272" t="s">
        <v>133</v>
      </c>
      <c r="D432" s="273" t="s">
        <v>47</v>
      </c>
      <c r="E432" s="273" t="s">
        <v>45</v>
      </c>
      <c r="F432" s="274" t="s">
        <v>50</v>
      </c>
      <c r="G432" s="42" t="s">
        <v>60</v>
      </c>
      <c r="H432" s="287">
        <f>'прил10 (ведом 23-24)'!M207</f>
        <v>10</v>
      </c>
      <c r="I432" s="287">
        <f>'прил10 (ведом 23-24)'!N207</f>
        <v>10</v>
      </c>
    </row>
    <row r="433" spans="1:9" ht="18" x14ac:dyDescent="0.35">
      <c r="A433" s="461"/>
      <c r="B433" s="480"/>
      <c r="C433" s="635"/>
      <c r="D433" s="635"/>
      <c r="E433" s="635"/>
      <c r="F433" s="635"/>
      <c r="G433" s="312"/>
      <c r="H433" s="287"/>
      <c r="I433" s="287"/>
    </row>
    <row r="434" spans="1:9" s="471" customFormat="1" ht="52.2" x14ac:dyDescent="0.3">
      <c r="A434" s="481">
        <v>18</v>
      </c>
      <c r="B434" s="558" t="s">
        <v>524</v>
      </c>
      <c r="C434" s="482" t="s">
        <v>70</v>
      </c>
      <c r="D434" s="482" t="s">
        <v>44</v>
      </c>
      <c r="E434" s="482" t="s">
        <v>45</v>
      </c>
      <c r="F434" s="482" t="s">
        <v>46</v>
      </c>
      <c r="G434" s="470"/>
      <c r="H434" s="337">
        <f t="shared" ref="H434:I436" si="15">H435</f>
        <v>5000</v>
      </c>
      <c r="I434" s="337">
        <f t="shared" si="15"/>
        <v>5000</v>
      </c>
    </row>
    <row r="435" spans="1:9" ht="18" x14ac:dyDescent="0.35">
      <c r="A435" s="461"/>
      <c r="B435" s="501" t="s">
        <v>521</v>
      </c>
      <c r="C435" s="272" t="s">
        <v>70</v>
      </c>
      <c r="D435" s="273" t="s">
        <v>47</v>
      </c>
      <c r="E435" s="273" t="s">
        <v>45</v>
      </c>
      <c r="F435" s="274" t="s">
        <v>46</v>
      </c>
      <c r="G435" s="42"/>
      <c r="H435" s="287">
        <f>H436</f>
        <v>5000</v>
      </c>
      <c r="I435" s="287">
        <f>I436</f>
        <v>5000</v>
      </c>
    </row>
    <row r="436" spans="1:9" ht="36" x14ac:dyDescent="0.35">
      <c r="A436" s="461"/>
      <c r="B436" s="472" t="s">
        <v>519</v>
      </c>
      <c r="C436" s="272" t="s">
        <v>70</v>
      </c>
      <c r="D436" s="273" t="s">
        <v>47</v>
      </c>
      <c r="E436" s="273" t="s">
        <v>45</v>
      </c>
      <c r="F436" s="274" t="s">
        <v>71</v>
      </c>
      <c r="G436" s="42"/>
      <c r="H436" s="287">
        <f t="shared" si="15"/>
        <v>5000</v>
      </c>
      <c r="I436" s="287">
        <f t="shared" si="15"/>
        <v>5000</v>
      </c>
    </row>
    <row r="437" spans="1:9" ht="18" x14ac:dyDescent="0.35">
      <c r="A437" s="461"/>
      <c r="B437" s="472" t="s">
        <v>59</v>
      </c>
      <c r="C437" s="272" t="s">
        <v>70</v>
      </c>
      <c r="D437" s="273" t="s">
        <v>47</v>
      </c>
      <c r="E437" s="273" t="s">
        <v>45</v>
      </c>
      <c r="F437" s="274" t="s">
        <v>71</v>
      </c>
      <c r="G437" s="42" t="s">
        <v>60</v>
      </c>
      <c r="H437" s="287">
        <f>'прил10 (ведом 23-24)'!M59</f>
        <v>5000</v>
      </c>
      <c r="I437" s="287">
        <f>'прил10 (ведом 23-24)'!N59</f>
        <v>5000</v>
      </c>
    </row>
    <row r="438" spans="1:9" ht="18" x14ac:dyDescent="0.35">
      <c r="A438" s="461"/>
      <c r="B438" s="472"/>
      <c r="C438" s="272"/>
      <c r="D438" s="273"/>
      <c r="E438" s="273"/>
      <c r="F438" s="274"/>
      <c r="G438" s="42"/>
      <c r="H438" s="287"/>
      <c r="I438" s="287"/>
    </row>
    <row r="439" spans="1:9" s="471" customFormat="1" ht="17.399999999999999" x14ac:dyDescent="0.3">
      <c r="A439" s="56">
        <v>19</v>
      </c>
      <c r="B439" s="559" t="s">
        <v>371</v>
      </c>
      <c r="C439" s="555"/>
      <c r="D439" s="556"/>
      <c r="E439" s="556"/>
      <c r="F439" s="557"/>
      <c r="G439" s="195"/>
      <c r="H439" s="337">
        <f>H440</f>
        <v>27393.1</v>
      </c>
      <c r="I439" s="337">
        <f>I440</f>
        <v>34551.699999999997</v>
      </c>
    </row>
    <row r="440" spans="1:9" ht="18" x14ac:dyDescent="0.35">
      <c r="A440" s="54"/>
      <c r="B440" s="560" t="s">
        <v>371</v>
      </c>
      <c r="C440" s="272"/>
      <c r="D440" s="273"/>
      <c r="E440" s="273"/>
      <c r="F440" s="274"/>
      <c r="G440" s="42"/>
      <c r="H440" s="561">
        <f>'прил10 (ведом 23-24)'!M581</f>
        <v>27393.1</v>
      </c>
      <c r="I440" s="561">
        <f>'прил10 (ведом 23-24)'!N581</f>
        <v>34551.699999999997</v>
      </c>
    </row>
    <row r="441" spans="1:9" ht="18" x14ac:dyDescent="0.35">
      <c r="A441" s="93"/>
      <c r="B441" s="562"/>
      <c r="C441" s="100"/>
      <c r="D441" s="100"/>
      <c r="E441" s="100"/>
      <c r="F441" s="100"/>
      <c r="G441" s="100"/>
      <c r="H441" s="563"/>
      <c r="I441" s="563"/>
    </row>
    <row r="442" spans="1:9" ht="18" x14ac:dyDescent="0.35">
      <c r="A442" s="93"/>
      <c r="B442" s="562"/>
      <c r="C442" s="100"/>
      <c r="D442" s="100"/>
      <c r="E442" s="100"/>
      <c r="F442" s="100"/>
      <c r="G442" s="100"/>
      <c r="H442" s="563"/>
      <c r="I442" s="563"/>
    </row>
    <row r="443" spans="1:9" ht="17.399999999999999" x14ac:dyDescent="0.3">
      <c r="A443" s="457"/>
      <c r="B443" s="58"/>
      <c r="C443" s="59"/>
      <c r="D443" s="59"/>
      <c r="E443" s="59"/>
      <c r="F443" s="59"/>
      <c r="G443" s="60"/>
    </row>
    <row r="444" spans="1:9" ht="18" x14ac:dyDescent="0.35">
      <c r="A444" s="57" t="s">
        <v>388</v>
      </c>
      <c r="B444" s="58"/>
      <c r="C444" s="59"/>
      <c r="D444" s="59"/>
      <c r="E444" s="59"/>
      <c r="F444" s="59"/>
      <c r="G444" s="60"/>
    </row>
    <row r="445" spans="1:9" ht="18" x14ac:dyDescent="0.35">
      <c r="A445" s="57" t="s">
        <v>389</v>
      </c>
      <c r="B445" s="58"/>
      <c r="C445" s="59"/>
      <c r="D445" s="59"/>
      <c r="E445" s="59"/>
      <c r="F445" s="59"/>
      <c r="G445" s="60"/>
    </row>
    <row r="446" spans="1:9" ht="18" x14ac:dyDescent="0.35">
      <c r="A446" s="63" t="s">
        <v>390</v>
      </c>
      <c r="B446" s="58"/>
      <c r="C446" s="62"/>
      <c r="D446" s="59"/>
      <c r="E446" s="59"/>
      <c r="F446" s="59"/>
      <c r="G446" s="62"/>
      <c r="H446" s="62"/>
      <c r="I446" s="64" t="s">
        <v>412</v>
      </c>
    </row>
    <row r="447" spans="1:9" x14ac:dyDescent="0.3">
      <c r="A447" s="457"/>
      <c r="B447" s="58"/>
      <c r="C447" s="59"/>
      <c r="D447" s="59"/>
      <c r="E447" s="59"/>
      <c r="F447" s="59"/>
    </row>
    <row r="448" spans="1:9" x14ac:dyDescent="0.3">
      <c r="A448" s="457"/>
      <c r="B448" s="58"/>
      <c r="C448" s="59"/>
      <c r="D448" s="59"/>
      <c r="E448" s="59"/>
      <c r="F448" s="59"/>
    </row>
    <row r="449" spans="1:9" x14ac:dyDescent="0.3">
      <c r="A449" s="457"/>
      <c r="B449" s="58"/>
      <c r="C449" s="59"/>
      <c r="D449" s="59"/>
      <c r="E449" s="59"/>
      <c r="F449" s="59"/>
    </row>
    <row r="450" spans="1:9" ht="17.399999999999999" x14ac:dyDescent="0.3">
      <c r="A450" s="457"/>
      <c r="B450" s="58"/>
      <c r="C450" s="59"/>
      <c r="D450" s="59"/>
      <c r="E450" s="59"/>
      <c r="F450" s="59"/>
      <c r="G450" s="60"/>
    </row>
    <row r="451" spans="1:9" hidden="1" x14ac:dyDescent="0.3">
      <c r="B451" s="565" t="s">
        <v>239</v>
      </c>
      <c r="H451" s="456">
        <f>H369+H339+H330+H290+H266+H249+H221+H198+H159+H115+H16+H324+H363+H345+H355</f>
        <v>1562498.2</v>
      </c>
      <c r="I451" s="456">
        <f>I369+I339+I330+I290+I266+I249+I221+I198+I159+I115+I16+I324+I363+I345+I355</f>
        <v>1554612.7</v>
      </c>
    </row>
    <row r="452" spans="1:9" hidden="1" x14ac:dyDescent="0.3"/>
    <row r="453" spans="1:9" hidden="1" x14ac:dyDescent="0.3">
      <c r="H453" s="456">
        <f>(H451/H15)*100</f>
        <v>97.696889314955527</v>
      </c>
      <c r="I453" s="456">
        <f>(I451/I15)*100</f>
        <v>97.248033254977585</v>
      </c>
    </row>
    <row r="454" spans="1:9" hidden="1" x14ac:dyDescent="0.3">
      <c r="H454" s="456"/>
      <c r="I454" s="456"/>
    </row>
    <row r="455" spans="1:9" hidden="1" x14ac:dyDescent="0.3">
      <c r="B455" s="565" t="s">
        <v>240</v>
      </c>
      <c r="H455" s="456">
        <f>H434+H427</f>
        <v>9387.9000000000015</v>
      </c>
      <c r="I455" s="456">
        <f>I434+I427</f>
        <v>9388</v>
      </c>
    </row>
    <row r="456" spans="1:9" hidden="1" x14ac:dyDescent="0.3">
      <c r="H456" s="456">
        <f>(H455/H460)*100</f>
        <v>0.58700819719283548</v>
      </c>
      <c r="I456" s="456">
        <f>(I455/I460)*100</f>
        <v>0.58728134279489363</v>
      </c>
    </row>
    <row r="457" spans="1:9" hidden="1" x14ac:dyDescent="0.3">
      <c r="H457" s="456"/>
      <c r="I457" s="456"/>
    </row>
    <row r="458" spans="1:9" hidden="1" x14ac:dyDescent="0.3">
      <c r="B458" s="565" t="s">
        <v>373</v>
      </c>
      <c r="H458" s="456">
        <f>H439</f>
        <v>27393.1</v>
      </c>
      <c r="I458" s="456">
        <f>I439</f>
        <v>34551.699999999997</v>
      </c>
    </row>
    <row r="459" spans="1:9" hidden="1" x14ac:dyDescent="0.3">
      <c r="H459" s="456">
        <f>(H458/H460)*100</f>
        <v>1.7128403845932592</v>
      </c>
      <c r="I459" s="456">
        <f>(I458/I460)*100</f>
        <v>2.1614368099538055</v>
      </c>
    </row>
    <row r="460" spans="1:9" hidden="1" x14ac:dyDescent="0.3">
      <c r="B460" s="565" t="s">
        <v>204</v>
      </c>
      <c r="H460" s="456">
        <f>H455+H451+H458</f>
        <v>1599279.2</v>
      </c>
      <c r="I460" s="456">
        <f>I455+I451+I458</f>
        <v>1598552.4</v>
      </c>
    </row>
  </sheetData>
  <autoFilter ref="A4:I460"/>
  <mergeCells count="7">
    <mergeCell ref="A9:I9"/>
    <mergeCell ref="C14:F14"/>
    <mergeCell ref="H12:I12"/>
    <mergeCell ref="A12:A13"/>
    <mergeCell ref="B12:B13"/>
    <mergeCell ref="C12:F13"/>
    <mergeCell ref="G12:G13"/>
  </mergeCells>
  <printOptions horizontalCentered="1"/>
  <pageMargins left="1.1811023622047245" right="0.39370078740157483" top="0.78740157480314965" bottom="0.78740157480314965" header="0" footer="0"/>
  <pageSetup paperSize="9" scale="70" fitToHeight="0" orientation="portrait" blackAndWhite="1" r:id="rId1"/>
  <headerFooter differentFirst="1" alignWithMargins="0">
    <oddHeader>&amp;C&amp;"Times New Roman,обычный"&amp;12&amp;P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autoPageBreaks="0" fitToPage="1"/>
  </sheetPr>
  <dimension ref="A1:O876"/>
  <sheetViews>
    <sheetView zoomScale="80" zoomScaleNormal="80" workbookViewId="0">
      <selection activeCell="A769" sqref="A769:XFD825"/>
    </sheetView>
  </sheetViews>
  <sheetFormatPr defaultColWidth="8.88671875" defaultRowHeight="14.4" x14ac:dyDescent="0.3"/>
  <cols>
    <col min="1" max="1" width="4.6640625" style="8" customWidth="1"/>
    <col min="2" max="2" width="54.44140625" style="8" customWidth="1"/>
    <col min="3" max="3" width="10" style="8" customWidth="1"/>
    <col min="4" max="4" width="3.6640625" style="8" customWidth="1"/>
    <col min="5" max="5" width="4" style="8" customWidth="1"/>
    <col min="6" max="6" width="3.33203125" style="8" customWidth="1"/>
    <col min="7" max="7" width="2.44140625" style="8" customWidth="1"/>
    <col min="8" max="8" width="2.6640625" style="8" customWidth="1"/>
    <col min="9" max="9" width="7.6640625" style="8" customWidth="1"/>
    <col min="10" max="10" width="5" style="8" customWidth="1"/>
    <col min="11" max="11" width="14.5546875" style="8" hidden="1" customWidth="1"/>
    <col min="12" max="12" width="17.44140625" style="8" customWidth="1"/>
    <col min="13" max="13" width="21.33203125" style="44" customWidth="1"/>
    <col min="14" max="14" width="10.109375" style="8" customWidth="1"/>
    <col min="15" max="15" width="11.6640625" style="8" customWidth="1"/>
    <col min="16" max="16384" width="8.88671875" style="8"/>
  </cols>
  <sheetData>
    <row r="1" spans="1:14" ht="18" x14ac:dyDescent="0.35">
      <c r="M1" s="201" t="s">
        <v>675</v>
      </c>
    </row>
    <row r="2" spans="1:14" ht="18" x14ac:dyDescent="0.35">
      <c r="M2" s="201" t="s">
        <v>795</v>
      </c>
    </row>
    <row r="4" spans="1:14" s="50" customFormat="1" ht="18" x14ac:dyDescent="0.35">
      <c r="M4" s="356" t="s">
        <v>676</v>
      </c>
    </row>
    <row r="5" spans="1:14" s="50" customFormat="1" ht="18.75" customHeight="1" x14ac:dyDescent="0.35">
      <c r="M5" s="356" t="s">
        <v>733</v>
      </c>
    </row>
    <row r="7" spans="1:14" ht="15" customHeight="1" x14ac:dyDescent="0.3"/>
    <row r="8" spans="1:14" ht="15" customHeight="1" x14ac:dyDescent="0.3"/>
    <row r="9" spans="1:14" ht="18.75" customHeight="1" x14ac:dyDescent="0.3">
      <c r="A9" s="697" t="s">
        <v>665</v>
      </c>
      <c r="B9" s="697"/>
      <c r="C9" s="697"/>
      <c r="D9" s="697"/>
      <c r="E9" s="697"/>
      <c r="F9" s="697"/>
      <c r="G9" s="697"/>
      <c r="H9" s="697"/>
      <c r="I9" s="697"/>
      <c r="J9" s="697"/>
      <c r="K9" s="697"/>
      <c r="L9" s="697"/>
      <c r="M9" s="697"/>
    </row>
    <row r="10" spans="1:14" ht="18.75" customHeight="1" x14ac:dyDescent="0.3">
      <c r="A10" s="658"/>
      <c r="B10" s="658"/>
      <c r="C10" s="658"/>
      <c r="D10" s="658"/>
      <c r="E10" s="658"/>
      <c r="F10" s="658"/>
      <c r="G10" s="658"/>
      <c r="H10" s="658"/>
      <c r="I10" s="658"/>
      <c r="J10" s="658"/>
      <c r="K10" s="658"/>
      <c r="L10" s="658"/>
    </row>
    <row r="11" spans="1:14" ht="18.75" customHeight="1" x14ac:dyDescent="0.35">
      <c r="A11" s="9"/>
      <c r="B11" s="10"/>
      <c r="C11" s="11"/>
      <c r="D11" s="11"/>
      <c r="E11" s="11"/>
      <c r="F11" s="11"/>
      <c r="G11" s="9"/>
      <c r="H11" s="12"/>
      <c r="I11" s="13"/>
      <c r="J11" s="14"/>
      <c r="K11" s="14"/>
      <c r="L11" s="14"/>
      <c r="M11" s="45" t="s">
        <v>24</v>
      </c>
    </row>
    <row r="12" spans="1:14" ht="25.2" customHeight="1" x14ac:dyDescent="0.3">
      <c r="A12" s="701" t="s">
        <v>25</v>
      </c>
      <c r="B12" s="703" t="s">
        <v>26</v>
      </c>
      <c r="C12" s="705" t="s">
        <v>27</v>
      </c>
      <c r="D12" s="705" t="s">
        <v>28</v>
      </c>
      <c r="E12" s="705" t="s">
        <v>29</v>
      </c>
      <c r="F12" s="707" t="s">
        <v>30</v>
      </c>
      <c r="G12" s="708"/>
      <c r="H12" s="708"/>
      <c r="I12" s="709"/>
      <c r="J12" s="705" t="s">
        <v>31</v>
      </c>
      <c r="K12" s="713" t="s">
        <v>695</v>
      </c>
      <c r="L12" s="715" t="s">
        <v>470</v>
      </c>
      <c r="M12" s="716"/>
    </row>
    <row r="13" spans="1:14" ht="37.200000000000003" customHeight="1" x14ac:dyDescent="0.35">
      <c r="A13" s="702"/>
      <c r="B13" s="704"/>
      <c r="C13" s="706"/>
      <c r="D13" s="706"/>
      <c r="E13" s="706"/>
      <c r="F13" s="710"/>
      <c r="G13" s="711"/>
      <c r="H13" s="711"/>
      <c r="I13" s="712"/>
      <c r="J13" s="706"/>
      <c r="K13" s="714"/>
      <c r="L13" s="628" t="s">
        <v>739</v>
      </c>
      <c r="M13" s="629" t="s">
        <v>740</v>
      </c>
    </row>
    <row r="14" spans="1:14" ht="18.75" customHeight="1" x14ac:dyDescent="0.35">
      <c r="A14" s="15">
        <v>1</v>
      </c>
      <c r="B14" s="16">
        <v>2</v>
      </c>
      <c r="C14" s="17" t="s">
        <v>32</v>
      </c>
      <c r="D14" s="17" t="s">
        <v>33</v>
      </c>
      <c r="E14" s="17" t="s">
        <v>34</v>
      </c>
      <c r="F14" s="698" t="s">
        <v>35</v>
      </c>
      <c r="G14" s="699"/>
      <c r="H14" s="699"/>
      <c r="I14" s="700"/>
      <c r="J14" s="17" t="s">
        <v>36</v>
      </c>
      <c r="K14" s="17"/>
      <c r="L14" s="17" t="s">
        <v>569</v>
      </c>
      <c r="M14" s="46">
        <v>9</v>
      </c>
    </row>
    <row r="15" spans="1:14" ht="18.75" customHeight="1" x14ac:dyDescent="0.3">
      <c r="A15" s="18">
        <v>1</v>
      </c>
      <c r="B15" s="19" t="s">
        <v>204</v>
      </c>
      <c r="C15" s="20"/>
      <c r="D15" s="21"/>
      <c r="E15" s="21"/>
      <c r="F15" s="22"/>
      <c r="G15" s="23"/>
      <c r="H15" s="23"/>
      <c r="I15" s="24"/>
      <c r="J15" s="21"/>
      <c r="K15" s="341" t="e">
        <f>K16+K251+K294+K306+K557+K639+K696+K730+K395</f>
        <v>#REF!</v>
      </c>
      <c r="L15" s="341">
        <f>L16+L251+L294+L306+L557+L639+L696+L730+L395</f>
        <v>77578.218800000002</v>
      </c>
      <c r="M15" s="341">
        <f>M16+M251+M294+M306+M557+M639+M696+M730+M395</f>
        <v>1962205.1058</v>
      </c>
      <c r="N15" s="269"/>
    </row>
    <row r="16" spans="1:14" s="156" customFormat="1" ht="37.5" customHeight="1" x14ac:dyDescent="0.3">
      <c r="A16" s="151">
        <v>1</v>
      </c>
      <c r="B16" s="25" t="s">
        <v>0</v>
      </c>
      <c r="C16" s="26" t="s">
        <v>2</v>
      </c>
      <c r="D16" s="27"/>
      <c r="E16" s="27"/>
      <c r="F16" s="28"/>
      <c r="G16" s="29"/>
      <c r="H16" s="29"/>
      <c r="I16" s="30"/>
      <c r="J16" s="27"/>
      <c r="K16" s="47">
        <f>K17+K91+K128+K171+K199+K212+K192+K219</f>
        <v>233531.02600000001</v>
      </c>
      <c r="L16" s="47">
        <f>L17+L91+L128+L171+L199+L212+L192+L219</f>
        <v>43223.618799999997</v>
      </c>
      <c r="M16" s="47">
        <f>M17+M91+M128+M171+M199+M212+M192+M219</f>
        <v>276754.64480000001</v>
      </c>
    </row>
    <row r="17" spans="1:15" s="157" customFormat="1" ht="18.75" customHeight="1" x14ac:dyDescent="0.35">
      <c r="A17" s="18"/>
      <c r="B17" s="31" t="s">
        <v>38</v>
      </c>
      <c r="C17" s="32" t="s">
        <v>2</v>
      </c>
      <c r="D17" s="17" t="s">
        <v>39</v>
      </c>
      <c r="E17" s="17"/>
      <c r="F17" s="659"/>
      <c r="G17" s="660"/>
      <c r="H17" s="660"/>
      <c r="I17" s="661"/>
      <c r="J17" s="17"/>
      <c r="K17" s="33">
        <f t="shared" ref="K17:L17" si="0">K18+K24+K55+K60+K49</f>
        <v>114957.72600000001</v>
      </c>
      <c r="L17" s="33">
        <f t="shared" si="0"/>
        <v>-7034.9132</v>
      </c>
      <c r="M17" s="33">
        <f>M18+M24+M55+M60+M49</f>
        <v>107922.81280000003</v>
      </c>
    </row>
    <row r="18" spans="1:15" s="152" customFormat="1" ht="56.25" customHeight="1" x14ac:dyDescent="0.35">
      <c r="A18" s="18"/>
      <c r="B18" s="31" t="s">
        <v>40</v>
      </c>
      <c r="C18" s="32" t="s">
        <v>2</v>
      </c>
      <c r="D18" s="17" t="s">
        <v>39</v>
      </c>
      <c r="E18" s="17" t="s">
        <v>41</v>
      </c>
      <c r="F18" s="659"/>
      <c r="G18" s="660"/>
      <c r="H18" s="660"/>
      <c r="I18" s="661"/>
      <c r="J18" s="17"/>
      <c r="K18" s="33">
        <f t="shared" ref="K18:M21" si="1">K19</f>
        <v>2439.1999999999998</v>
      </c>
      <c r="L18" s="33">
        <f t="shared" si="1"/>
        <v>0</v>
      </c>
      <c r="M18" s="33">
        <f t="shared" si="1"/>
        <v>2439.1999999999998</v>
      </c>
      <c r="O18" s="152" t="s">
        <v>516</v>
      </c>
    </row>
    <row r="19" spans="1:15" s="152" customFormat="1" ht="59.25" customHeight="1" x14ac:dyDescent="0.35">
      <c r="A19" s="18"/>
      <c r="B19" s="31" t="s">
        <v>42</v>
      </c>
      <c r="C19" s="32" t="s">
        <v>2</v>
      </c>
      <c r="D19" s="17" t="s">
        <v>39</v>
      </c>
      <c r="E19" s="17" t="s">
        <v>41</v>
      </c>
      <c r="F19" s="659" t="s">
        <v>43</v>
      </c>
      <c r="G19" s="660" t="s">
        <v>44</v>
      </c>
      <c r="H19" s="660" t="s">
        <v>45</v>
      </c>
      <c r="I19" s="661" t="s">
        <v>46</v>
      </c>
      <c r="J19" s="17"/>
      <c r="K19" s="33">
        <f t="shared" si="1"/>
        <v>2439.1999999999998</v>
      </c>
      <c r="L19" s="33">
        <f t="shared" si="1"/>
        <v>0</v>
      </c>
      <c r="M19" s="33">
        <f t="shared" si="1"/>
        <v>2439.1999999999998</v>
      </c>
    </row>
    <row r="20" spans="1:15" s="152" customFormat="1" ht="37.5" customHeight="1" x14ac:dyDescent="0.35">
      <c r="A20" s="18"/>
      <c r="B20" s="31" t="s">
        <v>345</v>
      </c>
      <c r="C20" s="32" t="s">
        <v>2</v>
      </c>
      <c r="D20" s="17" t="s">
        <v>39</v>
      </c>
      <c r="E20" s="17" t="s">
        <v>41</v>
      </c>
      <c r="F20" s="659" t="s">
        <v>43</v>
      </c>
      <c r="G20" s="660" t="s">
        <v>47</v>
      </c>
      <c r="H20" s="660" t="s">
        <v>45</v>
      </c>
      <c r="I20" s="661" t="s">
        <v>46</v>
      </c>
      <c r="J20" s="17"/>
      <c r="K20" s="33">
        <f t="shared" si="1"/>
        <v>2439.1999999999998</v>
      </c>
      <c r="L20" s="33">
        <f t="shared" si="1"/>
        <v>0</v>
      </c>
      <c r="M20" s="33">
        <f t="shared" si="1"/>
        <v>2439.1999999999998</v>
      </c>
    </row>
    <row r="21" spans="1:15" s="152" customFormat="1" ht="56.25" customHeight="1" x14ac:dyDescent="0.35">
      <c r="A21" s="18"/>
      <c r="B21" s="31" t="s">
        <v>48</v>
      </c>
      <c r="C21" s="32" t="s">
        <v>2</v>
      </c>
      <c r="D21" s="17" t="s">
        <v>39</v>
      </c>
      <c r="E21" s="17" t="s">
        <v>41</v>
      </c>
      <c r="F21" s="659" t="s">
        <v>43</v>
      </c>
      <c r="G21" s="660" t="s">
        <v>47</v>
      </c>
      <c r="H21" s="660" t="s">
        <v>39</v>
      </c>
      <c r="I21" s="661" t="s">
        <v>46</v>
      </c>
      <c r="J21" s="17"/>
      <c r="K21" s="33">
        <f t="shared" si="1"/>
        <v>2439.1999999999998</v>
      </c>
      <c r="L21" s="33">
        <f t="shared" si="1"/>
        <v>0</v>
      </c>
      <c r="M21" s="33">
        <f t="shared" si="1"/>
        <v>2439.1999999999998</v>
      </c>
    </row>
    <row r="22" spans="1:15" s="152" customFormat="1" ht="37.5" customHeight="1" x14ac:dyDescent="0.35">
      <c r="A22" s="18"/>
      <c r="B22" s="31" t="s">
        <v>49</v>
      </c>
      <c r="C22" s="32" t="s">
        <v>2</v>
      </c>
      <c r="D22" s="17" t="s">
        <v>39</v>
      </c>
      <c r="E22" s="17" t="s">
        <v>41</v>
      </c>
      <c r="F22" s="659" t="s">
        <v>43</v>
      </c>
      <c r="G22" s="660" t="s">
        <v>47</v>
      </c>
      <c r="H22" s="660" t="s">
        <v>39</v>
      </c>
      <c r="I22" s="661" t="s">
        <v>50</v>
      </c>
      <c r="J22" s="17"/>
      <c r="K22" s="33">
        <f>K23</f>
        <v>2439.1999999999998</v>
      </c>
      <c r="L22" s="33">
        <f>L23</f>
        <v>0</v>
      </c>
      <c r="M22" s="33">
        <f>M23</f>
        <v>2439.1999999999998</v>
      </c>
    </row>
    <row r="23" spans="1:15" s="152" customFormat="1" ht="112.5" customHeight="1" x14ac:dyDescent="0.35">
      <c r="A23" s="18"/>
      <c r="B23" s="31" t="s">
        <v>51</v>
      </c>
      <c r="C23" s="32" t="s">
        <v>2</v>
      </c>
      <c r="D23" s="17" t="s">
        <v>39</v>
      </c>
      <c r="E23" s="17" t="s">
        <v>41</v>
      </c>
      <c r="F23" s="659" t="s">
        <v>43</v>
      </c>
      <c r="G23" s="660" t="s">
        <v>47</v>
      </c>
      <c r="H23" s="660" t="s">
        <v>39</v>
      </c>
      <c r="I23" s="661" t="s">
        <v>50</v>
      </c>
      <c r="J23" s="17" t="s">
        <v>52</v>
      </c>
      <c r="K23" s="33">
        <f>2067.1+372.1</f>
        <v>2439.1999999999998</v>
      </c>
      <c r="L23" s="33">
        <f>M23-K23</f>
        <v>0</v>
      </c>
      <c r="M23" s="33">
        <f>2067.1+372.1</f>
        <v>2439.1999999999998</v>
      </c>
    </row>
    <row r="24" spans="1:15" s="157" customFormat="1" ht="75.75" customHeight="1" x14ac:dyDescent="0.35">
      <c r="A24" s="18"/>
      <c r="B24" s="31" t="s">
        <v>53</v>
      </c>
      <c r="C24" s="32" t="s">
        <v>2</v>
      </c>
      <c r="D24" s="17" t="s">
        <v>39</v>
      </c>
      <c r="E24" s="17" t="s">
        <v>54</v>
      </c>
      <c r="F24" s="659"/>
      <c r="G24" s="660"/>
      <c r="H24" s="660"/>
      <c r="I24" s="661"/>
      <c r="J24" s="17"/>
      <c r="K24" s="33">
        <f t="shared" ref="K24:M25" si="2">K25</f>
        <v>85268.426000000007</v>
      </c>
      <c r="L24" s="33">
        <f t="shared" si="2"/>
        <v>594.80000000000018</v>
      </c>
      <c r="M24" s="33">
        <f t="shared" si="2"/>
        <v>85863.226000000024</v>
      </c>
    </row>
    <row r="25" spans="1:15" s="157" customFormat="1" ht="60" customHeight="1" x14ac:dyDescent="0.35">
      <c r="A25" s="18"/>
      <c r="B25" s="31" t="s">
        <v>55</v>
      </c>
      <c r="C25" s="32" t="s">
        <v>2</v>
      </c>
      <c r="D25" s="17" t="s">
        <v>39</v>
      </c>
      <c r="E25" s="17" t="s">
        <v>54</v>
      </c>
      <c r="F25" s="659" t="s">
        <v>43</v>
      </c>
      <c r="G25" s="660" t="s">
        <v>44</v>
      </c>
      <c r="H25" s="660" t="s">
        <v>45</v>
      </c>
      <c r="I25" s="661" t="s">
        <v>46</v>
      </c>
      <c r="J25" s="17"/>
      <c r="K25" s="33">
        <f t="shared" si="2"/>
        <v>85268.426000000007</v>
      </c>
      <c r="L25" s="33">
        <f t="shared" si="2"/>
        <v>594.80000000000018</v>
      </c>
      <c r="M25" s="33">
        <f t="shared" si="2"/>
        <v>85863.226000000024</v>
      </c>
    </row>
    <row r="26" spans="1:15" s="14" customFormat="1" ht="37.5" customHeight="1" x14ac:dyDescent="0.35">
      <c r="A26" s="18"/>
      <c r="B26" s="31" t="s">
        <v>345</v>
      </c>
      <c r="C26" s="32" t="s">
        <v>2</v>
      </c>
      <c r="D26" s="17" t="s">
        <v>39</v>
      </c>
      <c r="E26" s="17" t="s">
        <v>54</v>
      </c>
      <c r="F26" s="659" t="s">
        <v>43</v>
      </c>
      <c r="G26" s="660" t="s">
        <v>47</v>
      </c>
      <c r="H26" s="660" t="s">
        <v>45</v>
      </c>
      <c r="I26" s="661" t="s">
        <v>46</v>
      </c>
      <c r="J26" s="17"/>
      <c r="K26" s="33">
        <f>K27+K46</f>
        <v>85268.426000000007</v>
      </c>
      <c r="L26" s="33">
        <f>L27+L46</f>
        <v>594.80000000000018</v>
      </c>
      <c r="M26" s="33">
        <f>M27+M46</f>
        <v>85863.226000000024</v>
      </c>
    </row>
    <row r="27" spans="1:15" s="14" customFormat="1" ht="37.5" customHeight="1" x14ac:dyDescent="0.35">
      <c r="A27" s="18"/>
      <c r="B27" s="31" t="s">
        <v>56</v>
      </c>
      <c r="C27" s="32" t="s">
        <v>2</v>
      </c>
      <c r="D27" s="17" t="s">
        <v>39</v>
      </c>
      <c r="E27" s="17" t="s">
        <v>54</v>
      </c>
      <c r="F27" s="659" t="s">
        <v>43</v>
      </c>
      <c r="G27" s="660" t="s">
        <v>47</v>
      </c>
      <c r="H27" s="660" t="s">
        <v>41</v>
      </c>
      <c r="I27" s="661" t="s">
        <v>46</v>
      </c>
      <c r="J27" s="17"/>
      <c r="K27" s="33">
        <f>K28+K36+K38+K34+K41+K43+K32</f>
        <v>85253.426000000007</v>
      </c>
      <c r="L27" s="33">
        <f t="shared" ref="L27" si="3">L28+L36+L38+L34+L41+L43+L32</f>
        <v>594.80000000000018</v>
      </c>
      <c r="M27" s="33">
        <f>M28+M36+M38+M34+M41+M43+M32</f>
        <v>85848.226000000024</v>
      </c>
    </row>
    <row r="28" spans="1:15" s="152" customFormat="1" ht="37.5" customHeight="1" x14ac:dyDescent="0.35">
      <c r="A28" s="18"/>
      <c r="B28" s="31" t="s">
        <v>49</v>
      </c>
      <c r="C28" s="32" t="s">
        <v>2</v>
      </c>
      <c r="D28" s="17" t="s">
        <v>39</v>
      </c>
      <c r="E28" s="17" t="s">
        <v>54</v>
      </c>
      <c r="F28" s="659" t="s">
        <v>43</v>
      </c>
      <c r="G28" s="660" t="s">
        <v>47</v>
      </c>
      <c r="H28" s="660" t="s">
        <v>41</v>
      </c>
      <c r="I28" s="661" t="s">
        <v>50</v>
      </c>
      <c r="J28" s="17"/>
      <c r="K28" s="33">
        <f>K29+K30+K31</f>
        <v>79727.026000000013</v>
      </c>
      <c r="L28" s="33">
        <f>L29+L30+L31</f>
        <v>0</v>
      </c>
      <c r="M28" s="33">
        <f>M29+M30+M31</f>
        <v>79727.026000000013</v>
      </c>
    </row>
    <row r="29" spans="1:15" s="152" customFormat="1" ht="112.5" customHeight="1" x14ac:dyDescent="0.35">
      <c r="A29" s="18"/>
      <c r="B29" s="31" t="s">
        <v>51</v>
      </c>
      <c r="C29" s="32" t="s">
        <v>2</v>
      </c>
      <c r="D29" s="17" t="s">
        <v>39</v>
      </c>
      <c r="E29" s="17" t="s">
        <v>54</v>
      </c>
      <c r="F29" s="659" t="s">
        <v>43</v>
      </c>
      <c r="G29" s="660" t="s">
        <v>47</v>
      </c>
      <c r="H29" s="660" t="s">
        <v>41</v>
      </c>
      <c r="I29" s="661" t="s">
        <v>50</v>
      </c>
      <c r="J29" s="17" t="s">
        <v>52</v>
      </c>
      <c r="K29" s="33">
        <f>60208.2+168.8+10014.1+2381.6+1079.1</f>
        <v>73851.800000000017</v>
      </c>
      <c r="L29" s="33">
        <f>M29-K29</f>
        <v>0</v>
      </c>
      <c r="M29" s="33">
        <f>60208.2+168.8+10014.1+2381.6+1079.1</f>
        <v>73851.800000000017</v>
      </c>
      <c r="N29" s="157"/>
    </row>
    <row r="30" spans="1:15" s="14" customFormat="1" ht="56.25" customHeight="1" x14ac:dyDescent="0.35">
      <c r="A30" s="18"/>
      <c r="B30" s="31" t="s">
        <v>57</v>
      </c>
      <c r="C30" s="32" t="s">
        <v>2</v>
      </c>
      <c r="D30" s="17" t="s">
        <v>39</v>
      </c>
      <c r="E30" s="17" t="s">
        <v>54</v>
      </c>
      <c r="F30" s="659" t="s">
        <v>43</v>
      </c>
      <c r="G30" s="660" t="s">
        <v>47</v>
      </c>
      <c r="H30" s="660" t="s">
        <v>41</v>
      </c>
      <c r="I30" s="661" t="s">
        <v>50</v>
      </c>
      <c r="J30" s="17" t="s">
        <v>58</v>
      </c>
      <c r="K30" s="33">
        <f>6016.5-290+47.826</f>
        <v>5774.326</v>
      </c>
      <c r="L30" s="33">
        <f>M30-K30</f>
        <v>0</v>
      </c>
      <c r="M30" s="33">
        <f>6016.5-290+47.826</f>
        <v>5774.326</v>
      </c>
    </row>
    <row r="31" spans="1:15" s="152" customFormat="1" ht="18.75" customHeight="1" x14ac:dyDescent="0.35">
      <c r="A31" s="18"/>
      <c r="B31" s="31" t="s">
        <v>59</v>
      </c>
      <c r="C31" s="32" t="s">
        <v>2</v>
      </c>
      <c r="D31" s="17" t="s">
        <v>39</v>
      </c>
      <c r="E31" s="17" t="s">
        <v>54</v>
      </c>
      <c r="F31" s="659" t="s">
        <v>43</v>
      </c>
      <c r="G31" s="660" t="s">
        <v>47</v>
      </c>
      <c r="H31" s="660" t="s">
        <v>41</v>
      </c>
      <c r="I31" s="661" t="s">
        <v>50</v>
      </c>
      <c r="J31" s="17" t="s">
        <v>60</v>
      </c>
      <c r="K31" s="33">
        <v>100.9</v>
      </c>
      <c r="L31" s="33">
        <f>M31-K31</f>
        <v>0</v>
      </c>
      <c r="M31" s="33">
        <v>100.9</v>
      </c>
      <c r="N31" s="14"/>
    </row>
    <row r="32" spans="1:15" s="152" customFormat="1" ht="18.75" customHeight="1" x14ac:dyDescent="0.35">
      <c r="A32" s="18"/>
      <c r="B32" s="31" t="s">
        <v>541</v>
      </c>
      <c r="C32" s="32" t="s">
        <v>2</v>
      </c>
      <c r="D32" s="17" t="s">
        <v>39</v>
      </c>
      <c r="E32" s="17" t="s">
        <v>54</v>
      </c>
      <c r="F32" s="659" t="s">
        <v>43</v>
      </c>
      <c r="G32" s="660" t="s">
        <v>47</v>
      </c>
      <c r="H32" s="660" t="s">
        <v>41</v>
      </c>
      <c r="I32" s="661" t="s">
        <v>399</v>
      </c>
      <c r="J32" s="17"/>
      <c r="K32" s="33">
        <f>K33</f>
        <v>624.6</v>
      </c>
      <c r="L32" s="33">
        <f>L33</f>
        <v>0</v>
      </c>
      <c r="M32" s="33">
        <f>M33</f>
        <v>624.6</v>
      </c>
      <c r="N32" s="14"/>
    </row>
    <row r="33" spans="1:14" s="152" customFormat="1" ht="54" x14ac:dyDescent="0.35">
      <c r="A33" s="18"/>
      <c r="B33" s="31" t="s">
        <v>57</v>
      </c>
      <c r="C33" s="32" t="s">
        <v>2</v>
      </c>
      <c r="D33" s="17" t="s">
        <v>39</v>
      </c>
      <c r="E33" s="17" t="s">
        <v>54</v>
      </c>
      <c r="F33" s="659" t="s">
        <v>43</v>
      </c>
      <c r="G33" s="660" t="s">
        <v>47</v>
      </c>
      <c r="H33" s="660" t="s">
        <v>41</v>
      </c>
      <c r="I33" s="661" t="s">
        <v>399</v>
      </c>
      <c r="J33" s="17" t="s">
        <v>58</v>
      </c>
      <c r="K33" s="33">
        <v>624.6</v>
      </c>
      <c r="L33" s="33">
        <f>M33-K33</f>
        <v>0</v>
      </c>
      <c r="M33" s="33">
        <v>624.6</v>
      </c>
      <c r="N33" s="14"/>
    </row>
    <row r="34" spans="1:14" s="157" customFormat="1" ht="97.5" customHeight="1" x14ac:dyDescent="0.35">
      <c r="A34" s="18"/>
      <c r="B34" s="31" t="s">
        <v>518</v>
      </c>
      <c r="C34" s="32" t="s">
        <v>2</v>
      </c>
      <c r="D34" s="17" t="s">
        <v>39</v>
      </c>
      <c r="E34" s="17" t="s">
        <v>54</v>
      </c>
      <c r="F34" s="659" t="s">
        <v>43</v>
      </c>
      <c r="G34" s="660" t="s">
        <v>47</v>
      </c>
      <c r="H34" s="660" t="s">
        <v>41</v>
      </c>
      <c r="I34" s="661" t="s">
        <v>267</v>
      </c>
      <c r="J34" s="17"/>
      <c r="K34" s="33">
        <f>K35</f>
        <v>63</v>
      </c>
      <c r="L34" s="33">
        <f>L35</f>
        <v>0</v>
      </c>
      <c r="M34" s="33">
        <f>M35</f>
        <v>63</v>
      </c>
    </row>
    <row r="35" spans="1:14" s="157" customFormat="1" ht="56.25" customHeight="1" x14ac:dyDescent="0.35">
      <c r="A35" s="18"/>
      <c r="B35" s="31" t="s">
        <v>57</v>
      </c>
      <c r="C35" s="32" t="s">
        <v>2</v>
      </c>
      <c r="D35" s="17" t="s">
        <v>39</v>
      </c>
      <c r="E35" s="17" t="s">
        <v>54</v>
      </c>
      <c r="F35" s="659" t="s">
        <v>43</v>
      </c>
      <c r="G35" s="660" t="s">
        <v>47</v>
      </c>
      <c r="H35" s="660" t="s">
        <v>41</v>
      </c>
      <c r="I35" s="661" t="s">
        <v>267</v>
      </c>
      <c r="J35" s="17" t="s">
        <v>58</v>
      </c>
      <c r="K35" s="33">
        <v>63</v>
      </c>
      <c r="L35" s="33">
        <f>M35-K35</f>
        <v>0</v>
      </c>
      <c r="M35" s="33">
        <v>63</v>
      </c>
    </row>
    <row r="36" spans="1:14" s="157" customFormat="1" ht="200.4" customHeight="1" x14ac:dyDescent="0.35">
      <c r="A36" s="18"/>
      <c r="B36" s="51" t="s">
        <v>526</v>
      </c>
      <c r="C36" s="32" t="s">
        <v>2</v>
      </c>
      <c r="D36" s="17" t="s">
        <v>39</v>
      </c>
      <c r="E36" s="17" t="s">
        <v>54</v>
      </c>
      <c r="F36" s="659" t="s">
        <v>43</v>
      </c>
      <c r="G36" s="660" t="s">
        <v>47</v>
      </c>
      <c r="H36" s="660" t="s">
        <v>41</v>
      </c>
      <c r="I36" s="661" t="s">
        <v>61</v>
      </c>
      <c r="J36" s="17"/>
      <c r="K36" s="33">
        <f>K37</f>
        <v>645.20000000000005</v>
      </c>
      <c r="L36" s="33">
        <f>L37</f>
        <v>78.200000000000045</v>
      </c>
      <c r="M36" s="33">
        <f>M37</f>
        <v>723.40000000000009</v>
      </c>
    </row>
    <row r="37" spans="1:14" s="157" customFormat="1" ht="110.4" customHeight="1" x14ac:dyDescent="0.35">
      <c r="A37" s="18"/>
      <c r="B37" s="31" t="s">
        <v>51</v>
      </c>
      <c r="C37" s="32" t="s">
        <v>2</v>
      </c>
      <c r="D37" s="17" t="s">
        <v>39</v>
      </c>
      <c r="E37" s="17" t="s">
        <v>54</v>
      </c>
      <c r="F37" s="659" t="s">
        <v>43</v>
      </c>
      <c r="G37" s="660" t="s">
        <v>47</v>
      </c>
      <c r="H37" s="660" t="s">
        <v>41</v>
      </c>
      <c r="I37" s="661" t="s">
        <v>61</v>
      </c>
      <c r="J37" s="17" t="s">
        <v>52</v>
      </c>
      <c r="K37" s="33">
        <v>645.20000000000005</v>
      </c>
      <c r="L37" s="33">
        <f>M37-K37</f>
        <v>78.200000000000045</v>
      </c>
      <c r="M37" s="33">
        <f>645.2+78.2</f>
        <v>723.40000000000009</v>
      </c>
    </row>
    <row r="38" spans="1:14" s="157" customFormat="1" ht="75" customHeight="1" x14ac:dyDescent="0.35">
      <c r="A38" s="18"/>
      <c r="B38" s="31" t="s">
        <v>472</v>
      </c>
      <c r="C38" s="32" t="s">
        <v>2</v>
      </c>
      <c r="D38" s="17" t="s">
        <v>39</v>
      </c>
      <c r="E38" s="17" t="s">
        <v>54</v>
      </c>
      <c r="F38" s="659" t="s">
        <v>43</v>
      </c>
      <c r="G38" s="660" t="s">
        <v>47</v>
      </c>
      <c r="H38" s="660" t="s">
        <v>41</v>
      </c>
      <c r="I38" s="661" t="s">
        <v>63</v>
      </c>
      <c r="J38" s="17"/>
      <c r="K38" s="33">
        <f>K39+K40</f>
        <v>645.4</v>
      </c>
      <c r="L38" s="33">
        <f>L39+L40</f>
        <v>78.200000000000045</v>
      </c>
      <c r="M38" s="33">
        <f>M39+M40</f>
        <v>723.6</v>
      </c>
    </row>
    <row r="39" spans="1:14" s="157" customFormat="1" ht="112.5" customHeight="1" x14ac:dyDescent="0.35">
      <c r="A39" s="18"/>
      <c r="B39" s="31" t="s">
        <v>51</v>
      </c>
      <c r="C39" s="32" t="s">
        <v>2</v>
      </c>
      <c r="D39" s="17" t="s">
        <v>39</v>
      </c>
      <c r="E39" s="17" t="s">
        <v>54</v>
      </c>
      <c r="F39" s="659" t="s">
        <v>43</v>
      </c>
      <c r="G39" s="660" t="s">
        <v>47</v>
      </c>
      <c r="H39" s="660" t="s">
        <v>41</v>
      </c>
      <c r="I39" s="661" t="s">
        <v>63</v>
      </c>
      <c r="J39" s="17" t="s">
        <v>52</v>
      </c>
      <c r="K39" s="33">
        <v>641</v>
      </c>
      <c r="L39" s="33">
        <f>M39-K39</f>
        <v>78.200000000000045</v>
      </c>
      <c r="M39" s="33">
        <f>641+78.2</f>
        <v>719.2</v>
      </c>
    </row>
    <row r="40" spans="1:14" s="157" customFormat="1" ht="56.25" customHeight="1" x14ac:dyDescent="0.35">
      <c r="A40" s="18"/>
      <c r="B40" s="31" t="s">
        <v>57</v>
      </c>
      <c r="C40" s="32" t="s">
        <v>2</v>
      </c>
      <c r="D40" s="17" t="s">
        <v>39</v>
      </c>
      <c r="E40" s="17" t="s">
        <v>54</v>
      </c>
      <c r="F40" s="659" t="s">
        <v>43</v>
      </c>
      <c r="G40" s="660" t="s">
        <v>47</v>
      </c>
      <c r="H40" s="660" t="s">
        <v>41</v>
      </c>
      <c r="I40" s="661" t="s">
        <v>63</v>
      </c>
      <c r="J40" s="17" t="s">
        <v>58</v>
      </c>
      <c r="K40" s="33">
        <v>4.4000000000000004</v>
      </c>
      <c r="L40" s="33">
        <f>M40-K40</f>
        <v>0</v>
      </c>
      <c r="M40" s="33">
        <v>4.4000000000000004</v>
      </c>
    </row>
    <row r="41" spans="1:14" s="157" customFormat="1" ht="177.6" customHeight="1" x14ac:dyDescent="0.35">
      <c r="A41" s="18"/>
      <c r="B41" s="51" t="s">
        <v>387</v>
      </c>
      <c r="C41" s="32" t="s">
        <v>2</v>
      </c>
      <c r="D41" s="17" t="s">
        <v>39</v>
      </c>
      <c r="E41" s="17" t="s">
        <v>54</v>
      </c>
      <c r="F41" s="659" t="s">
        <v>43</v>
      </c>
      <c r="G41" s="660" t="s">
        <v>47</v>
      </c>
      <c r="H41" s="660" t="s">
        <v>41</v>
      </c>
      <c r="I41" s="661" t="s">
        <v>386</v>
      </c>
      <c r="J41" s="17"/>
      <c r="K41" s="33">
        <f>K42</f>
        <v>63</v>
      </c>
      <c r="L41" s="33">
        <f>L42</f>
        <v>0</v>
      </c>
      <c r="M41" s="33">
        <f>M42</f>
        <v>63</v>
      </c>
    </row>
    <row r="42" spans="1:14" s="157" customFormat="1" ht="56.25" customHeight="1" x14ac:dyDescent="0.35">
      <c r="A42" s="18"/>
      <c r="B42" s="31" t="s">
        <v>57</v>
      </c>
      <c r="C42" s="32" t="s">
        <v>2</v>
      </c>
      <c r="D42" s="17" t="s">
        <v>39</v>
      </c>
      <c r="E42" s="17" t="s">
        <v>54</v>
      </c>
      <c r="F42" s="659" t="s">
        <v>43</v>
      </c>
      <c r="G42" s="660" t="s">
        <v>47</v>
      </c>
      <c r="H42" s="660" t="s">
        <v>41</v>
      </c>
      <c r="I42" s="661" t="s">
        <v>386</v>
      </c>
      <c r="J42" s="17" t="s">
        <v>58</v>
      </c>
      <c r="K42" s="33">
        <v>63</v>
      </c>
      <c r="L42" s="33">
        <f>M42-K42</f>
        <v>0</v>
      </c>
      <c r="M42" s="33">
        <v>63</v>
      </c>
    </row>
    <row r="43" spans="1:14" s="157" customFormat="1" ht="76.95" customHeight="1" x14ac:dyDescent="0.35">
      <c r="A43" s="18"/>
      <c r="B43" s="31" t="s">
        <v>62</v>
      </c>
      <c r="C43" s="32" t="s">
        <v>2</v>
      </c>
      <c r="D43" s="17" t="s">
        <v>39</v>
      </c>
      <c r="E43" s="17" t="s">
        <v>54</v>
      </c>
      <c r="F43" s="659" t="s">
        <v>43</v>
      </c>
      <c r="G43" s="660" t="s">
        <v>47</v>
      </c>
      <c r="H43" s="660" t="s">
        <v>41</v>
      </c>
      <c r="I43" s="661" t="s">
        <v>711</v>
      </c>
      <c r="J43" s="17"/>
      <c r="K43" s="33">
        <f>SUM(K44:K45)</f>
        <v>3485.2</v>
      </c>
      <c r="L43" s="33">
        <f>SUM(L44:L45)</f>
        <v>438.40000000000009</v>
      </c>
      <c r="M43" s="33">
        <f>SUM(M44:M45)</f>
        <v>3923.6</v>
      </c>
    </row>
    <row r="44" spans="1:14" s="157" customFormat="1" ht="56.25" customHeight="1" x14ac:dyDescent="0.35">
      <c r="A44" s="18"/>
      <c r="B44" s="31" t="s">
        <v>51</v>
      </c>
      <c r="C44" s="32" t="s">
        <v>2</v>
      </c>
      <c r="D44" s="17" t="s">
        <v>39</v>
      </c>
      <c r="E44" s="17" t="s">
        <v>54</v>
      </c>
      <c r="F44" s="659" t="s">
        <v>43</v>
      </c>
      <c r="G44" s="660" t="s">
        <v>47</v>
      </c>
      <c r="H44" s="660" t="s">
        <v>41</v>
      </c>
      <c r="I44" s="661" t="s">
        <v>711</v>
      </c>
      <c r="J44" s="17" t="s">
        <v>52</v>
      </c>
      <c r="K44" s="33">
        <v>3293.6</v>
      </c>
      <c r="L44" s="33">
        <f>M44-K44</f>
        <v>438.40000000000009</v>
      </c>
      <c r="M44" s="33">
        <f>3293.6+438.4</f>
        <v>3732</v>
      </c>
    </row>
    <row r="45" spans="1:14" s="157" customFormat="1" ht="56.25" customHeight="1" x14ac:dyDescent="0.35">
      <c r="A45" s="18"/>
      <c r="B45" s="31" t="s">
        <v>57</v>
      </c>
      <c r="C45" s="32" t="s">
        <v>2</v>
      </c>
      <c r="D45" s="17" t="s">
        <v>39</v>
      </c>
      <c r="E45" s="17" t="s">
        <v>54</v>
      </c>
      <c r="F45" s="659" t="s">
        <v>43</v>
      </c>
      <c r="G45" s="660" t="s">
        <v>47</v>
      </c>
      <c r="H45" s="660" t="s">
        <v>41</v>
      </c>
      <c r="I45" s="661" t="s">
        <v>711</v>
      </c>
      <c r="J45" s="17" t="s">
        <v>58</v>
      </c>
      <c r="K45" s="33">
        <v>191.6</v>
      </c>
      <c r="L45" s="33">
        <f>M45-K45</f>
        <v>0</v>
      </c>
      <c r="M45" s="33">
        <f>191.6</f>
        <v>191.6</v>
      </c>
    </row>
    <row r="46" spans="1:14" s="14" customFormat="1" ht="18.75" customHeight="1" x14ac:dyDescent="0.35">
      <c r="A46" s="18"/>
      <c r="B46" s="31" t="s">
        <v>64</v>
      </c>
      <c r="C46" s="32" t="s">
        <v>2</v>
      </c>
      <c r="D46" s="17" t="s">
        <v>39</v>
      </c>
      <c r="E46" s="17" t="s">
        <v>54</v>
      </c>
      <c r="F46" s="659" t="s">
        <v>43</v>
      </c>
      <c r="G46" s="660" t="s">
        <v>47</v>
      </c>
      <c r="H46" s="660" t="s">
        <v>65</v>
      </c>
      <c r="I46" s="661" t="s">
        <v>46</v>
      </c>
      <c r="J46" s="17"/>
      <c r="K46" s="33">
        <f t="shared" ref="K46:M46" si="4">K47</f>
        <v>15</v>
      </c>
      <c r="L46" s="33">
        <f t="shared" si="4"/>
        <v>0</v>
      </c>
      <c r="M46" s="33">
        <f t="shared" si="4"/>
        <v>15</v>
      </c>
    </row>
    <row r="47" spans="1:14" s="152" customFormat="1" ht="37.5" customHeight="1" x14ac:dyDescent="0.35">
      <c r="A47" s="18"/>
      <c r="B47" s="31" t="s">
        <v>49</v>
      </c>
      <c r="C47" s="32" t="s">
        <v>2</v>
      </c>
      <c r="D47" s="17" t="s">
        <v>39</v>
      </c>
      <c r="E47" s="17" t="s">
        <v>54</v>
      </c>
      <c r="F47" s="659" t="s">
        <v>43</v>
      </c>
      <c r="G47" s="660" t="s">
        <v>47</v>
      </c>
      <c r="H47" s="660" t="s">
        <v>65</v>
      </c>
      <c r="I47" s="661" t="s">
        <v>50</v>
      </c>
      <c r="J47" s="17"/>
      <c r="K47" s="33">
        <f>K48</f>
        <v>15</v>
      </c>
      <c r="L47" s="33">
        <f>L48</f>
        <v>0</v>
      </c>
      <c r="M47" s="33">
        <f>M48</f>
        <v>15</v>
      </c>
    </row>
    <row r="48" spans="1:14" s="14" customFormat="1" ht="56.25" customHeight="1" x14ac:dyDescent="0.35">
      <c r="A48" s="18"/>
      <c r="B48" s="31" t="s">
        <v>57</v>
      </c>
      <c r="C48" s="32" t="s">
        <v>2</v>
      </c>
      <c r="D48" s="17" t="s">
        <v>39</v>
      </c>
      <c r="E48" s="17" t="s">
        <v>54</v>
      </c>
      <c r="F48" s="659" t="s">
        <v>43</v>
      </c>
      <c r="G48" s="660" t="s">
        <v>47</v>
      </c>
      <c r="H48" s="660" t="s">
        <v>65</v>
      </c>
      <c r="I48" s="661" t="s">
        <v>50</v>
      </c>
      <c r="J48" s="17" t="s">
        <v>58</v>
      </c>
      <c r="K48" s="33">
        <f>127.4-112.4</f>
        <v>15</v>
      </c>
      <c r="L48" s="33">
        <f>M48-K48</f>
        <v>0</v>
      </c>
      <c r="M48" s="33">
        <f>127.4-112.4</f>
        <v>15</v>
      </c>
    </row>
    <row r="49" spans="1:13" s="14" customFormat="1" ht="18.75" customHeight="1" x14ac:dyDescent="0.35">
      <c r="A49" s="18"/>
      <c r="B49" s="31" t="s">
        <v>408</v>
      </c>
      <c r="C49" s="32" t="s">
        <v>2</v>
      </c>
      <c r="D49" s="17" t="s">
        <v>39</v>
      </c>
      <c r="E49" s="17" t="s">
        <v>67</v>
      </c>
      <c r="F49" s="659"/>
      <c r="G49" s="660"/>
      <c r="H49" s="660"/>
      <c r="I49" s="661"/>
      <c r="J49" s="17"/>
      <c r="K49" s="33">
        <f t="shared" ref="K49:M52" si="5">K50</f>
        <v>140</v>
      </c>
      <c r="L49" s="33">
        <f t="shared" si="5"/>
        <v>0</v>
      </c>
      <c r="M49" s="33">
        <f t="shared" si="5"/>
        <v>140</v>
      </c>
    </row>
    <row r="50" spans="1:13" s="14" customFormat="1" ht="59.25" customHeight="1" x14ac:dyDescent="0.35">
      <c r="A50" s="18"/>
      <c r="B50" s="31" t="s">
        <v>55</v>
      </c>
      <c r="C50" s="32" t="s">
        <v>2</v>
      </c>
      <c r="D50" s="17" t="s">
        <v>39</v>
      </c>
      <c r="E50" s="17" t="s">
        <v>67</v>
      </c>
      <c r="F50" s="659" t="s">
        <v>43</v>
      </c>
      <c r="G50" s="660" t="s">
        <v>44</v>
      </c>
      <c r="H50" s="660" t="s">
        <v>45</v>
      </c>
      <c r="I50" s="661" t="s">
        <v>46</v>
      </c>
      <c r="J50" s="17"/>
      <c r="K50" s="33">
        <f t="shared" si="5"/>
        <v>140</v>
      </c>
      <c r="L50" s="33">
        <f t="shared" si="5"/>
        <v>0</v>
      </c>
      <c r="M50" s="33">
        <f t="shared" si="5"/>
        <v>140</v>
      </c>
    </row>
    <row r="51" spans="1:13" s="14" customFormat="1" ht="37.5" customHeight="1" x14ac:dyDescent="0.35">
      <c r="A51" s="18"/>
      <c r="B51" s="31" t="s">
        <v>345</v>
      </c>
      <c r="C51" s="32" t="s">
        <v>2</v>
      </c>
      <c r="D51" s="17" t="s">
        <v>39</v>
      </c>
      <c r="E51" s="17" t="s">
        <v>67</v>
      </c>
      <c r="F51" s="659" t="s">
        <v>43</v>
      </c>
      <c r="G51" s="660" t="s">
        <v>47</v>
      </c>
      <c r="H51" s="660" t="s">
        <v>45</v>
      </c>
      <c r="I51" s="661" t="s">
        <v>46</v>
      </c>
      <c r="J51" s="17"/>
      <c r="K51" s="33">
        <f t="shared" si="5"/>
        <v>140</v>
      </c>
      <c r="L51" s="33">
        <f t="shared" si="5"/>
        <v>0</v>
      </c>
      <c r="M51" s="33">
        <f t="shared" si="5"/>
        <v>140</v>
      </c>
    </row>
    <row r="52" spans="1:13" s="14" customFormat="1" ht="37.5" customHeight="1" x14ac:dyDescent="0.35">
      <c r="A52" s="18"/>
      <c r="B52" s="31" t="s">
        <v>56</v>
      </c>
      <c r="C52" s="32" t="s">
        <v>2</v>
      </c>
      <c r="D52" s="17" t="s">
        <v>39</v>
      </c>
      <c r="E52" s="17" t="s">
        <v>67</v>
      </c>
      <c r="F52" s="659" t="s">
        <v>43</v>
      </c>
      <c r="G52" s="660" t="s">
        <v>47</v>
      </c>
      <c r="H52" s="660" t="s">
        <v>41</v>
      </c>
      <c r="I52" s="661" t="s">
        <v>46</v>
      </c>
      <c r="J52" s="17"/>
      <c r="K52" s="33">
        <f t="shared" si="5"/>
        <v>140</v>
      </c>
      <c r="L52" s="33">
        <f t="shared" si="5"/>
        <v>0</v>
      </c>
      <c r="M52" s="33">
        <f t="shared" si="5"/>
        <v>140</v>
      </c>
    </row>
    <row r="53" spans="1:13" s="14" customFormat="1" ht="72" x14ac:dyDescent="0.35">
      <c r="A53" s="18"/>
      <c r="B53" s="31" t="s">
        <v>410</v>
      </c>
      <c r="C53" s="32" t="s">
        <v>2</v>
      </c>
      <c r="D53" s="17" t="s">
        <v>39</v>
      </c>
      <c r="E53" s="17" t="s">
        <v>67</v>
      </c>
      <c r="F53" s="659" t="s">
        <v>43</v>
      </c>
      <c r="G53" s="660" t="s">
        <v>47</v>
      </c>
      <c r="H53" s="660" t="s">
        <v>41</v>
      </c>
      <c r="I53" s="661" t="s">
        <v>409</v>
      </c>
      <c r="J53" s="17"/>
      <c r="K53" s="33">
        <f>K54</f>
        <v>140</v>
      </c>
      <c r="L53" s="33">
        <f>L54</f>
        <v>0</v>
      </c>
      <c r="M53" s="33">
        <f>M54</f>
        <v>140</v>
      </c>
    </row>
    <row r="54" spans="1:13" s="14" customFormat="1" ht="56.25" customHeight="1" x14ac:dyDescent="0.35">
      <c r="A54" s="18"/>
      <c r="B54" s="31" t="s">
        <v>57</v>
      </c>
      <c r="C54" s="32" t="s">
        <v>2</v>
      </c>
      <c r="D54" s="17" t="s">
        <v>39</v>
      </c>
      <c r="E54" s="17" t="s">
        <v>67</v>
      </c>
      <c r="F54" s="659" t="s">
        <v>43</v>
      </c>
      <c r="G54" s="660" t="s">
        <v>47</v>
      </c>
      <c r="H54" s="660" t="s">
        <v>41</v>
      </c>
      <c r="I54" s="661" t="s">
        <v>409</v>
      </c>
      <c r="J54" s="17" t="s">
        <v>58</v>
      </c>
      <c r="K54" s="33">
        <f>105+35</f>
        <v>140</v>
      </c>
      <c r="L54" s="33">
        <f>M54-K54</f>
        <v>0</v>
      </c>
      <c r="M54" s="33">
        <f>105+35</f>
        <v>140</v>
      </c>
    </row>
    <row r="55" spans="1:13" s="152" customFormat="1" ht="18.75" customHeight="1" x14ac:dyDescent="0.35">
      <c r="A55" s="18"/>
      <c r="B55" s="31" t="s">
        <v>68</v>
      </c>
      <c r="C55" s="32" t="s">
        <v>2</v>
      </c>
      <c r="D55" s="17" t="s">
        <v>39</v>
      </c>
      <c r="E55" s="17" t="s">
        <v>69</v>
      </c>
      <c r="F55" s="659"/>
      <c r="G55" s="660"/>
      <c r="H55" s="660"/>
      <c r="I55" s="661"/>
      <c r="J55" s="17"/>
      <c r="K55" s="33">
        <f t="shared" ref="K55:M56" si="6">K56</f>
        <v>21700</v>
      </c>
      <c r="L55" s="33">
        <f t="shared" si="6"/>
        <v>-7629.7132000000001</v>
      </c>
      <c r="M55" s="33">
        <f t="shared" si="6"/>
        <v>14070.2868</v>
      </c>
    </row>
    <row r="56" spans="1:13" s="152" customFormat="1" ht="37.5" customHeight="1" x14ac:dyDescent="0.35">
      <c r="A56" s="18"/>
      <c r="B56" s="31" t="s">
        <v>520</v>
      </c>
      <c r="C56" s="32" t="s">
        <v>2</v>
      </c>
      <c r="D56" s="17" t="s">
        <v>39</v>
      </c>
      <c r="E56" s="17" t="s">
        <v>69</v>
      </c>
      <c r="F56" s="659" t="s">
        <v>70</v>
      </c>
      <c r="G56" s="660" t="s">
        <v>44</v>
      </c>
      <c r="H56" s="660" t="s">
        <v>45</v>
      </c>
      <c r="I56" s="661" t="s">
        <v>46</v>
      </c>
      <c r="J56" s="17"/>
      <c r="K56" s="33">
        <f t="shared" si="6"/>
        <v>21700</v>
      </c>
      <c r="L56" s="33">
        <f t="shared" si="6"/>
        <v>-7629.7132000000001</v>
      </c>
      <c r="M56" s="33">
        <f t="shared" si="6"/>
        <v>14070.2868</v>
      </c>
    </row>
    <row r="57" spans="1:13" s="152" customFormat="1" ht="18.75" customHeight="1" x14ac:dyDescent="0.35">
      <c r="A57" s="18"/>
      <c r="B57" s="34" t="s">
        <v>521</v>
      </c>
      <c r="C57" s="32" t="s">
        <v>2</v>
      </c>
      <c r="D57" s="17" t="s">
        <v>39</v>
      </c>
      <c r="E57" s="17" t="s">
        <v>69</v>
      </c>
      <c r="F57" s="659" t="s">
        <v>70</v>
      </c>
      <c r="G57" s="660" t="s">
        <v>47</v>
      </c>
      <c r="H57" s="660" t="s">
        <v>45</v>
      </c>
      <c r="I57" s="661" t="s">
        <v>46</v>
      </c>
      <c r="J57" s="17"/>
      <c r="K57" s="33">
        <f t="shared" ref="K57:M58" si="7">K58</f>
        <v>21700</v>
      </c>
      <c r="L57" s="33">
        <f t="shared" si="7"/>
        <v>-7629.7132000000001</v>
      </c>
      <c r="M57" s="33">
        <f t="shared" si="7"/>
        <v>14070.2868</v>
      </c>
    </row>
    <row r="58" spans="1:13" s="152" customFormat="1" ht="40.200000000000003" customHeight="1" x14ac:dyDescent="0.35">
      <c r="A58" s="18"/>
      <c r="B58" s="31" t="s">
        <v>519</v>
      </c>
      <c r="C58" s="32" t="s">
        <v>2</v>
      </c>
      <c r="D58" s="17" t="s">
        <v>39</v>
      </c>
      <c r="E58" s="17" t="s">
        <v>69</v>
      </c>
      <c r="F58" s="659" t="s">
        <v>70</v>
      </c>
      <c r="G58" s="660" t="s">
        <v>47</v>
      </c>
      <c r="H58" s="660" t="s">
        <v>45</v>
      </c>
      <c r="I58" s="661" t="s">
        <v>71</v>
      </c>
      <c r="J58" s="17"/>
      <c r="K58" s="33">
        <f t="shared" si="7"/>
        <v>21700</v>
      </c>
      <c r="L58" s="33">
        <f t="shared" si="7"/>
        <v>-7629.7132000000001</v>
      </c>
      <c r="M58" s="33">
        <f t="shared" si="7"/>
        <v>14070.2868</v>
      </c>
    </row>
    <row r="59" spans="1:13" s="152" customFormat="1" ht="18.75" customHeight="1" x14ac:dyDescent="0.35">
      <c r="A59" s="18"/>
      <c r="B59" s="31" t="s">
        <v>59</v>
      </c>
      <c r="C59" s="32" t="s">
        <v>2</v>
      </c>
      <c r="D59" s="17" t="s">
        <v>39</v>
      </c>
      <c r="E59" s="17" t="s">
        <v>69</v>
      </c>
      <c r="F59" s="659" t="s">
        <v>70</v>
      </c>
      <c r="G59" s="660" t="s">
        <v>47</v>
      </c>
      <c r="H59" s="660" t="s">
        <v>45</v>
      </c>
      <c r="I59" s="661" t="s">
        <v>71</v>
      </c>
      <c r="J59" s="17" t="s">
        <v>60</v>
      </c>
      <c r="K59" s="33">
        <f>5000+6000+10200+500</f>
        <v>21700</v>
      </c>
      <c r="L59" s="33">
        <f>M59-K59</f>
        <v>-7629.7132000000001</v>
      </c>
      <c r="M59" s="33">
        <f>5000+6000+10200+500-19038.41+12608.6968-1200</f>
        <v>14070.2868</v>
      </c>
    </row>
    <row r="60" spans="1:13" s="152" customFormat="1" ht="18.75" customHeight="1" x14ac:dyDescent="0.35">
      <c r="A60" s="18"/>
      <c r="B60" s="31" t="s">
        <v>72</v>
      </c>
      <c r="C60" s="32" t="s">
        <v>2</v>
      </c>
      <c r="D60" s="17" t="s">
        <v>39</v>
      </c>
      <c r="E60" s="17" t="s">
        <v>73</v>
      </c>
      <c r="F60" s="659"/>
      <c r="G60" s="660"/>
      <c r="H60" s="660"/>
      <c r="I60" s="661"/>
      <c r="J60" s="17"/>
      <c r="K60" s="33">
        <f>K61+K71+K66</f>
        <v>5410.1</v>
      </c>
      <c r="L60" s="33">
        <f>L61+L71+L66</f>
        <v>0</v>
      </c>
      <c r="M60" s="33">
        <f>M61+M71+M66</f>
        <v>5410.1</v>
      </c>
    </row>
    <row r="61" spans="1:13" s="152" customFormat="1" ht="69.599999999999994" customHeight="1" x14ac:dyDescent="0.35">
      <c r="A61" s="18"/>
      <c r="B61" s="31" t="s">
        <v>338</v>
      </c>
      <c r="C61" s="32" t="s">
        <v>2</v>
      </c>
      <c r="D61" s="17" t="s">
        <v>39</v>
      </c>
      <c r="E61" s="17" t="s">
        <v>73</v>
      </c>
      <c r="F61" s="659" t="s">
        <v>106</v>
      </c>
      <c r="G61" s="660" t="s">
        <v>44</v>
      </c>
      <c r="H61" s="660" t="s">
        <v>45</v>
      </c>
      <c r="I61" s="661" t="s">
        <v>46</v>
      </c>
      <c r="J61" s="17"/>
      <c r="K61" s="33">
        <f t="shared" ref="K61:M64" si="8">K62</f>
        <v>10.199999999999999</v>
      </c>
      <c r="L61" s="33">
        <f t="shared" si="8"/>
        <v>0</v>
      </c>
      <c r="M61" s="33">
        <f t="shared" si="8"/>
        <v>10.199999999999999</v>
      </c>
    </row>
    <row r="62" spans="1:13" s="152" customFormat="1" ht="36.6" customHeight="1" x14ac:dyDescent="0.35">
      <c r="A62" s="18"/>
      <c r="B62" s="31" t="s">
        <v>568</v>
      </c>
      <c r="C62" s="32" t="s">
        <v>2</v>
      </c>
      <c r="D62" s="17" t="s">
        <v>39</v>
      </c>
      <c r="E62" s="17" t="s">
        <v>73</v>
      </c>
      <c r="F62" s="659" t="s">
        <v>106</v>
      </c>
      <c r="G62" s="660" t="s">
        <v>569</v>
      </c>
      <c r="H62" s="660" t="s">
        <v>45</v>
      </c>
      <c r="I62" s="661" t="s">
        <v>46</v>
      </c>
      <c r="J62" s="17"/>
      <c r="K62" s="33">
        <f t="shared" si="8"/>
        <v>10.199999999999999</v>
      </c>
      <c r="L62" s="33">
        <f t="shared" si="8"/>
        <v>0</v>
      </c>
      <c r="M62" s="33">
        <f t="shared" si="8"/>
        <v>10.199999999999999</v>
      </c>
    </row>
    <row r="63" spans="1:13" s="152" customFormat="1" ht="36" customHeight="1" x14ac:dyDescent="0.35">
      <c r="A63" s="18"/>
      <c r="B63" s="31" t="s">
        <v>750</v>
      </c>
      <c r="C63" s="32" t="s">
        <v>2</v>
      </c>
      <c r="D63" s="17" t="s">
        <v>39</v>
      </c>
      <c r="E63" s="17" t="s">
        <v>73</v>
      </c>
      <c r="F63" s="659" t="s">
        <v>106</v>
      </c>
      <c r="G63" s="660" t="s">
        <v>569</v>
      </c>
      <c r="H63" s="660" t="s">
        <v>39</v>
      </c>
      <c r="I63" s="661" t="s">
        <v>46</v>
      </c>
      <c r="J63" s="17"/>
      <c r="K63" s="33">
        <f t="shared" si="8"/>
        <v>10.199999999999999</v>
      </c>
      <c r="L63" s="33">
        <f t="shared" si="8"/>
        <v>0</v>
      </c>
      <c r="M63" s="33">
        <f t="shared" si="8"/>
        <v>10.199999999999999</v>
      </c>
    </row>
    <row r="64" spans="1:13" s="152" customFormat="1" ht="72" x14ac:dyDescent="0.35">
      <c r="A64" s="18"/>
      <c r="B64" s="31" t="s">
        <v>751</v>
      </c>
      <c r="C64" s="32" t="s">
        <v>2</v>
      </c>
      <c r="D64" s="17" t="s">
        <v>39</v>
      </c>
      <c r="E64" s="17" t="s">
        <v>73</v>
      </c>
      <c r="F64" s="659" t="s">
        <v>106</v>
      </c>
      <c r="G64" s="660" t="s">
        <v>569</v>
      </c>
      <c r="H64" s="660" t="s">
        <v>39</v>
      </c>
      <c r="I64" s="661" t="s">
        <v>749</v>
      </c>
      <c r="J64" s="17"/>
      <c r="K64" s="33">
        <f t="shared" si="8"/>
        <v>10.199999999999999</v>
      </c>
      <c r="L64" s="33">
        <f t="shared" si="8"/>
        <v>0</v>
      </c>
      <c r="M64" s="33">
        <f t="shared" si="8"/>
        <v>10.199999999999999</v>
      </c>
    </row>
    <row r="65" spans="1:13" s="152" customFormat="1" ht="58.2" customHeight="1" x14ac:dyDescent="0.35">
      <c r="A65" s="18"/>
      <c r="B65" s="31" t="s">
        <v>57</v>
      </c>
      <c r="C65" s="32" t="s">
        <v>2</v>
      </c>
      <c r="D65" s="17" t="s">
        <v>39</v>
      </c>
      <c r="E65" s="17" t="s">
        <v>73</v>
      </c>
      <c r="F65" s="659" t="s">
        <v>106</v>
      </c>
      <c r="G65" s="660" t="s">
        <v>569</v>
      </c>
      <c r="H65" s="660" t="s">
        <v>39</v>
      </c>
      <c r="I65" s="661" t="s">
        <v>749</v>
      </c>
      <c r="J65" s="17" t="s">
        <v>58</v>
      </c>
      <c r="K65" s="33">
        <v>10.199999999999999</v>
      </c>
      <c r="L65" s="33">
        <f>M65-K65</f>
        <v>0</v>
      </c>
      <c r="M65" s="33">
        <v>10.199999999999999</v>
      </c>
    </row>
    <row r="66" spans="1:13" s="152" customFormat="1" ht="72" x14ac:dyDescent="0.35">
      <c r="A66" s="18"/>
      <c r="B66" s="31" t="s">
        <v>74</v>
      </c>
      <c r="C66" s="32" t="s">
        <v>2</v>
      </c>
      <c r="D66" s="17" t="s">
        <v>39</v>
      </c>
      <c r="E66" s="17" t="s">
        <v>73</v>
      </c>
      <c r="F66" s="659" t="s">
        <v>75</v>
      </c>
      <c r="G66" s="660" t="s">
        <v>44</v>
      </c>
      <c r="H66" s="660" t="s">
        <v>45</v>
      </c>
      <c r="I66" s="661" t="s">
        <v>46</v>
      </c>
      <c r="J66" s="17"/>
      <c r="K66" s="33">
        <f t="shared" ref="K66:M68" si="9">K67</f>
        <v>303.60000000000002</v>
      </c>
      <c r="L66" s="33">
        <f t="shared" si="9"/>
        <v>0</v>
      </c>
      <c r="M66" s="33">
        <f t="shared" si="9"/>
        <v>303.60000000000002</v>
      </c>
    </row>
    <row r="67" spans="1:13" s="152" customFormat="1" ht="37.5" customHeight="1" x14ac:dyDescent="0.35">
      <c r="A67" s="18"/>
      <c r="B67" s="31" t="s">
        <v>345</v>
      </c>
      <c r="C67" s="32" t="s">
        <v>2</v>
      </c>
      <c r="D67" s="17" t="s">
        <v>39</v>
      </c>
      <c r="E67" s="17" t="s">
        <v>73</v>
      </c>
      <c r="F67" s="659" t="s">
        <v>75</v>
      </c>
      <c r="G67" s="660" t="s">
        <v>47</v>
      </c>
      <c r="H67" s="660" t="s">
        <v>45</v>
      </c>
      <c r="I67" s="661" t="s">
        <v>46</v>
      </c>
      <c r="J67" s="17"/>
      <c r="K67" s="33">
        <f t="shared" si="9"/>
        <v>303.60000000000002</v>
      </c>
      <c r="L67" s="33">
        <f t="shared" si="9"/>
        <v>0</v>
      </c>
      <c r="M67" s="33">
        <f t="shared" si="9"/>
        <v>303.60000000000002</v>
      </c>
    </row>
    <row r="68" spans="1:13" s="152" customFormat="1" ht="56.25" customHeight="1" x14ac:dyDescent="0.35">
      <c r="A68" s="18"/>
      <c r="B68" s="34" t="s">
        <v>268</v>
      </c>
      <c r="C68" s="32" t="s">
        <v>2</v>
      </c>
      <c r="D68" s="17" t="s">
        <v>39</v>
      </c>
      <c r="E68" s="17" t="s">
        <v>73</v>
      </c>
      <c r="F68" s="659" t="s">
        <v>75</v>
      </c>
      <c r="G68" s="660" t="s">
        <v>47</v>
      </c>
      <c r="H68" s="660" t="s">
        <v>39</v>
      </c>
      <c r="I68" s="661" t="s">
        <v>46</v>
      </c>
      <c r="J68" s="17"/>
      <c r="K68" s="33">
        <f t="shared" si="9"/>
        <v>303.60000000000002</v>
      </c>
      <c r="L68" s="33">
        <f t="shared" si="9"/>
        <v>0</v>
      </c>
      <c r="M68" s="33">
        <f t="shared" si="9"/>
        <v>303.60000000000002</v>
      </c>
    </row>
    <row r="69" spans="1:13" s="152" customFormat="1" ht="54" customHeight="1" x14ac:dyDescent="0.35">
      <c r="A69" s="18"/>
      <c r="B69" s="34" t="s">
        <v>76</v>
      </c>
      <c r="C69" s="32" t="s">
        <v>2</v>
      </c>
      <c r="D69" s="17" t="s">
        <v>39</v>
      </c>
      <c r="E69" s="17" t="s">
        <v>73</v>
      </c>
      <c r="F69" s="659" t="s">
        <v>75</v>
      </c>
      <c r="G69" s="660" t="s">
        <v>47</v>
      </c>
      <c r="H69" s="660" t="s">
        <v>39</v>
      </c>
      <c r="I69" s="661" t="s">
        <v>77</v>
      </c>
      <c r="J69" s="17"/>
      <c r="K69" s="33">
        <f>K70</f>
        <v>303.60000000000002</v>
      </c>
      <c r="L69" s="33">
        <f>L70</f>
        <v>0</v>
      </c>
      <c r="M69" s="33">
        <f>M70</f>
        <v>303.60000000000002</v>
      </c>
    </row>
    <row r="70" spans="1:13" s="152" customFormat="1" ht="56.25" customHeight="1" x14ac:dyDescent="0.35">
      <c r="A70" s="18"/>
      <c r="B70" s="35" t="s">
        <v>78</v>
      </c>
      <c r="C70" s="32" t="s">
        <v>2</v>
      </c>
      <c r="D70" s="17" t="s">
        <v>39</v>
      </c>
      <c r="E70" s="17" t="s">
        <v>73</v>
      </c>
      <c r="F70" s="659" t="s">
        <v>75</v>
      </c>
      <c r="G70" s="660" t="s">
        <v>47</v>
      </c>
      <c r="H70" s="660" t="s">
        <v>39</v>
      </c>
      <c r="I70" s="661" t="s">
        <v>77</v>
      </c>
      <c r="J70" s="17" t="s">
        <v>79</v>
      </c>
      <c r="K70" s="33">
        <v>303.60000000000002</v>
      </c>
      <c r="L70" s="33">
        <f>M70-K70</f>
        <v>0</v>
      </c>
      <c r="M70" s="33">
        <v>303.60000000000002</v>
      </c>
    </row>
    <row r="71" spans="1:13" s="152" customFormat="1" ht="60" customHeight="1" x14ac:dyDescent="0.35">
      <c r="A71" s="18"/>
      <c r="B71" s="31" t="s">
        <v>42</v>
      </c>
      <c r="C71" s="32" t="s">
        <v>2</v>
      </c>
      <c r="D71" s="17" t="s">
        <v>39</v>
      </c>
      <c r="E71" s="17" t="s">
        <v>73</v>
      </c>
      <c r="F71" s="659" t="s">
        <v>43</v>
      </c>
      <c r="G71" s="660" t="s">
        <v>44</v>
      </c>
      <c r="H71" s="660" t="s">
        <v>45</v>
      </c>
      <c r="I71" s="661" t="s">
        <v>46</v>
      </c>
      <c r="J71" s="17"/>
      <c r="K71" s="33">
        <f>K72</f>
        <v>5096.3</v>
      </c>
      <c r="L71" s="33">
        <f>L72</f>
        <v>0</v>
      </c>
      <c r="M71" s="33">
        <f>M72</f>
        <v>5096.3</v>
      </c>
    </row>
    <row r="72" spans="1:13" s="152" customFormat="1" ht="37.5" customHeight="1" x14ac:dyDescent="0.35">
      <c r="A72" s="18"/>
      <c r="B72" s="31" t="s">
        <v>345</v>
      </c>
      <c r="C72" s="32" t="s">
        <v>2</v>
      </c>
      <c r="D72" s="17" t="s">
        <v>39</v>
      </c>
      <c r="E72" s="17" t="s">
        <v>73</v>
      </c>
      <c r="F72" s="659" t="s">
        <v>43</v>
      </c>
      <c r="G72" s="660" t="s">
        <v>47</v>
      </c>
      <c r="H72" s="660" t="s">
        <v>45</v>
      </c>
      <c r="I72" s="661" t="s">
        <v>46</v>
      </c>
      <c r="J72" s="17"/>
      <c r="K72" s="33">
        <f>K80+K76+K85+K88+K73</f>
        <v>5096.3</v>
      </c>
      <c r="L72" s="33">
        <f>L80+L76+L85+L88+L73</f>
        <v>0</v>
      </c>
      <c r="M72" s="33">
        <f>M80+M76+M85+M88+M73</f>
        <v>5096.3</v>
      </c>
    </row>
    <row r="73" spans="1:13" s="152" customFormat="1" ht="37.5" customHeight="1" x14ac:dyDescent="0.35">
      <c r="A73" s="18"/>
      <c r="B73" s="31" t="s">
        <v>56</v>
      </c>
      <c r="C73" s="32" t="s">
        <v>2</v>
      </c>
      <c r="D73" s="17" t="s">
        <v>39</v>
      </c>
      <c r="E73" s="17" t="s">
        <v>73</v>
      </c>
      <c r="F73" s="659" t="s">
        <v>43</v>
      </c>
      <c r="G73" s="660" t="s">
        <v>47</v>
      </c>
      <c r="H73" s="660" t="s">
        <v>41</v>
      </c>
      <c r="I73" s="661" t="s">
        <v>46</v>
      </c>
      <c r="J73" s="17"/>
      <c r="K73" s="33">
        <f t="shared" ref="K73:M73" si="10">K74</f>
        <v>451.7</v>
      </c>
      <c r="L73" s="33">
        <f t="shared" si="10"/>
        <v>0</v>
      </c>
      <c r="M73" s="33">
        <f t="shared" si="10"/>
        <v>451.7</v>
      </c>
    </row>
    <row r="74" spans="1:13" s="152" customFormat="1" ht="18" x14ac:dyDescent="0.35">
      <c r="A74" s="18"/>
      <c r="B74" s="31" t="s">
        <v>541</v>
      </c>
      <c r="C74" s="32" t="s">
        <v>2</v>
      </c>
      <c r="D74" s="17" t="s">
        <v>39</v>
      </c>
      <c r="E74" s="17" t="s">
        <v>73</v>
      </c>
      <c r="F74" s="659" t="s">
        <v>43</v>
      </c>
      <c r="G74" s="660" t="s">
        <v>47</v>
      </c>
      <c r="H74" s="660" t="s">
        <v>41</v>
      </c>
      <c r="I74" s="661" t="s">
        <v>399</v>
      </c>
      <c r="J74" s="17"/>
      <c r="K74" s="33">
        <f t="shared" ref="K74:M74" si="11">K75</f>
        <v>451.7</v>
      </c>
      <c r="L74" s="33">
        <f t="shared" si="11"/>
        <v>0</v>
      </c>
      <c r="M74" s="33">
        <f t="shared" si="11"/>
        <v>451.7</v>
      </c>
    </row>
    <row r="75" spans="1:13" s="152" customFormat="1" ht="54" x14ac:dyDescent="0.35">
      <c r="A75" s="18"/>
      <c r="B75" s="31" t="s">
        <v>57</v>
      </c>
      <c r="C75" s="32" t="s">
        <v>2</v>
      </c>
      <c r="D75" s="17" t="s">
        <v>39</v>
      </c>
      <c r="E75" s="17" t="s">
        <v>73</v>
      </c>
      <c r="F75" s="659" t="s">
        <v>43</v>
      </c>
      <c r="G75" s="660" t="s">
        <v>47</v>
      </c>
      <c r="H75" s="660" t="s">
        <v>41</v>
      </c>
      <c r="I75" s="661" t="s">
        <v>399</v>
      </c>
      <c r="J75" s="17" t="s">
        <v>58</v>
      </c>
      <c r="K75" s="33">
        <v>451.7</v>
      </c>
      <c r="L75" s="33">
        <f>M75-K75</f>
        <v>0</v>
      </c>
      <c r="M75" s="33">
        <v>451.7</v>
      </c>
    </row>
    <row r="76" spans="1:13" s="152" customFormat="1" ht="18.75" customHeight="1" x14ac:dyDescent="0.35">
      <c r="A76" s="18"/>
      <c r="B76" s="35" t="s">
        <v>64</v>
      </c>
      <c r="C76" s="32" t="s">
        <v>2</v>
      </c>
      <c r="D76" s="17" t="s">
        <v>39</v>
      </c>
      <c r="E76" s="17" t="s">
        <v>73</v>
      </c>
      <c r="F76" s="659" t="s">
        <v>43</v>
      </c>
      <c r="G76" s="660" t="s">
        <v>47</v>
      </c>
      <c r="H76" s="660" t="s">
        <v>65</v>
      </c>
      <c r="I76" s="661" t="s">
        <v>46</v>
      </c>
      <c r="J76" s="17"/>
      <c r="K76" s="33">
        <f t="shared" ref="K76:M76" si="12">K77</f>
        <v>1521.3999999999999</v>
      </c>
      <c r="L76" s="33">
        <f t="shared" si="12"/>
        <v>0</v>
      </c>
      <c r="M76" s="33">
        <f t="shared" si="12"/>
        <v>1521.3999999999999</v>
      </c>
    </row>
    <row r="77" spans="1:13" s="152" customFormat="1" ht="60" customHeight="1" x14ac:dyDescent="0.35">
      <c r="A77" s="18"/>
      <c r="B77" s="35" t="s">
        <v>398</v>
      </c>
      <c r="C77" s="32" t="s">
        <v>2</v>
      </c>
      <c r="D77" s="17" t="s">
        <v>39</v>
      </c>
      <c r="E77" s="17" t="s">
        <v>73</v>
      </c>
      <c r="F77" s="659" t="s">
        <v>43</v>
      </c>
      <c r="G77" s="660" t="s">
        <v>47</v>
      </c>
      <c r="H77" s="660" t="s">
        <v>65</v>
      </c>
      <c r="I77" s="661" t="s">
        <v>397</v>
      </c>
      <c r="J77" s="17"/>
      <c r="K77" s="33">
        <f>K78+K79</f>
        <v>1521.3999999999999</v>
      </c>
      <c r="L77" s="33">
        <f>L78+L79</f>
        <v>0</v>
      </c>
      <c r="M77" s="33">
        <f>M78+M79</f>
        <v>1521.3999999999999</v>
      </c>
    </row>
    <row r="78" spans="1:13" s="152" customFormat="1" ht="56.25" customHeight="1" x14ac:dyDescent="0.35">
      <c r="A78" s="18"/>
      <c r="B78" s="31" t="s">
        <v>57</v>
      </c>
      <c r="C78" s="32" t="s">
        <v>2</v>
      </c>
      <c r="D78" s="17" t="s">
        <v>39</v>
      </c>
      <c r="E78" s="17" t="s">
        <v>73</v>
      </c>
      <c r="F78" s="659" t="s">
        <v>43</v>
      </c>
      <c r="G78" s="660" t="s">
        <v>47</v>
      </c>
      <c r="H78" s="660" t="s">
        <v>65</v>
      </c>
      <c r="I78" s="661" t="s">
        <v>397</v>
      </c>
      <c r="J78" s="17" t="s">
        <v>58</v>
      </c>
      <c r="K78" s="33">
        <f>1019.5+210+63.6</f>
        <v>1293.0999999999999</v>
      </c>
      <c r="L78" s="33">
        <f>M78-K78</f>
        <v>0</v>
      </c>
      <c r="M78" s="33">
        <f>1019.5+210+63.6</f>
        <v>1293.0999999999999</v>
      </c>
    </row>
    <row r="79" spans="1:13" s="152" customFormat="1" ht="18" x14ac:dyDescent="0.35">
      <c r="A79" s="18"/>
      <c r="B79" s="31" t="s">
        <v>59</v>
      </c>
      <c r="C79" s="32" t="s">
        <v>2</v>
      </c>
      <c r="D79" s="17" t="s">
        <v>39</v>
      </c>
      <c r="E79" s="17" t="s">
        <v>73</v>
      </c>
      <c r="F79" s="659" t="s">
        <v>43</v>
      </c>
      <c r="G79" s="660" t="s">
        <v>47</v>
      </c>
      <c r="H79" s="660" t="s">
        <v>65</v>
      </c>
      <c r="I79" s="661" t="s">
        <v>397</v>
      </c>
      <c r="J79" s="17" t="s">
        <v>60</v>
      </c>
      <c r="K79" s="33">
        <v>228.3</v>
      </c>
      <c r="L79" s="33">
        <f>M79-K79</f>
        <v>0</v>
      </c>
      <c r="M79" s="33">
        <v>228.3</v>
      </c>
    </row>
    <row r="80" spans="1:13" s="152" customFormat="1" ht="18.75" customHeight="1" x14ac:dyDescent="0.35">
      <c r="A80" s="18"/>
      <c r="B80" s="31" t="s">
        <v>66</v>
      </c>
      <c r="C80" s="32" t="s">
        <v>2</v>
      </c>
      <c r="D80" s="17" t="s">
        <v>39</v>
      </c>
      <c r="E80" s="17" t="s">
        <v>73</v>
      </c>
      <c r="F80" s="659" t="s">
        <v>43</v>
      </c>
      <c r="G80" s="660" t="s">
        <v>47</v>
      </c>
      <c r="H80" s="660" t="s">
        <v>54</v>
      </c>
      <c r="I80" s="661" t="s">
        <v>46</v>
      </c>
      <c r="J80" s="17"/>
      <c r="K80" s="33">
        <f>K81+K83</f>
        <v>2943.1</v>
      </c>
      <c r="L80" s="33">
        <f>L81+L83</f>
        <v>0</v>
      </c>
      <c r="M80" s="33">
        <f>M81+M83</f>
        <v>2943.1</v>
      </c>
    </row>
    <row r="81" spans="1:13" s="152" customFormat="1" ht="58.5" customHeight="1" x14ac:dyDescent="0.35">
      <c r="A81" s="18"/>
      <c r="B81" s="36" t="s">
        <v>361</v>
      </c>
      <c r="C81" s="32" t="s">
        <v>2</v>
      </c>
      <c r="D81" s="17" t="s">
        <v>39</v>
      </c>
      <c r="E81" s="17" t="s">
        <v>73</v>
      </c>
      <c r="F81" s="659" t="s">
        <v>43</v>
      </c>
      <c r="G81" s="660" t="s">
        <v>47</v>
      </c>
      <c r="H81" s="660" t="s">
        <v>54</v>
      </c>
      <c r="I81" s="661" t="s">
        <v>107</v>
      </c>
      <c r="J81" s="17"/>
      <c r="K81" s="33">
        <f>K82</f>
        <v>948.3</v>
      </c>
      <c r="L81" s="33">
        <f>L82</f>
        <v>0</v>
      </c>
      <c r="M81" s="33">
        <f>M82</f>
        <v>948.3</v>
      </c>
    </row>
    <row r="82" spans="1:13" s="152" customFormat="1" ht="56.25" customHeight="1" x14ac:dyDescent="0.35">
      <c r="A82" s="18"/>
      <c r="B82" s="31" t="s">
        <v>57</v>
      </c>
      <c r="C82" s="32" t="s">
        <v>2</v>
      </c>
      <c r="D82" s="17" t="s">
        <v>39</v>
      </c>
      <c r="E82" s="17" t="s">
        <v>73</v>
      </c>
      <c r="F82" s="659" t="s">
        <v>43</v>
      </c>
      <c r="G82" s="660" t="s">
        <v>47</v>
      </c>
      <c r="H82" s="660" t="s">
        <v>54</v>
      </c>
      <c r="I82" s="661" t="s">
        <v>107</v>
      </c>
      <c r="J82" s="17" t="s">
        <v>58</v>
      </c>
      <c r="K82" s="33">
        <v>948.3</v>
      </c>
      <c r="L82" s="33">
        <f>M82-K82</f>
        <v>0</v>
      </c>
      <c r="M82" s="33">
        <v>948.3</v>
      </c>
    </row>
    <row r="83" spans="1:13" s="152" customFormat="1" ht="56.25" customHeight="1" x14ac:dyDescent="0.35">
      <c r="A83" s="18"/>
      <c r="B83" s="31" t="s">
        <v>363</v>
      </c>
      <c r="C83" s="32" t="s">
        <v>2</v>
      </c>
      <c r="D83" s="17" t="s">
        <v>39</v>
      </c>
      <c r="E83" s="17" t="s">
        <v>73</v>
      </c>
      <c r="F83" s="659" t="s">
        <v>43</v>
      </c>
      <c r="G83" s="660" t="s">
        <v>47</v>
      </c>
      <c r="H83" s="660" t="s">
        <v>54</v>
      </c>
      <c r="I83" s="661" t="s">
        <v>362</v>
      </c>
      <c r="J83" s="17"/>
      <c r="K83" s="33">
        <f>K84</f>
        <v>1994.8</v>
      </c>
      <c r="L83" s="33">
        <f>L84</f>
        <v>0</v>
      </c>
      <c r="M83" s="33">
        <f>M84</f>
        <v>1994.8</v>
      </c>
    </row>
    <row r="84" spans="1:13" s="152" customFormat="1" ht="56.25" customHeight="1" x14ac:dyDescent="0.35">
      <c r="A84" s="18"/>
      <c r="B84" s="31" t="s">
        <v>57</v>
      </c>
      <c r="C84" s="32" t="s">
        <v>2</v>
      </c>
      <c r="D84" s="17" t="s">
        <v>39</v>
      </c>
      <c r="E84" s="17" t="s">
        <v>73</v>
      </c>
      <c r="F84" s="659" t="s">
        <v>43</v>
      </c>
      <c r="G84" s="660" t="s">
        <v>47</v>
      </c>
      <c r="H84" s="660" t="s">
        <v>54</v>
      </c>
      <c r="I84" s="661" t="s">
        <v>362</v>
      </c>
      <c r="J84" s="17" t="s">
        <v>58</v>
      </c>
      <c r="K84" s="33">
        <v>1994.8</v>
      </c>
      <c r="L84" s="33">
        <f>M84-K84</f>
        <v>0</v>
      </c>
      <c r="M84" s="33">
        <v>1994.8</v>
      </c>
    </row>
    <row r="85" spans="1:13" s="152" customFormat="1" ht="35.25" customHeight="1" x14ac:dyDescent="0.35">
      <c r="A85" s="18"/>
      <c r="B85" s="31" t="s">
        <v>554</v>
      </c>
      <c r="C85" s="32" t="s">
        <v>2</v>
      </c>
      <c r="D85" s="17" t="s">
        <v>39</v>
      </c>
      <c r="E85" s="17" t="s">
        <v>73</v>
      </c>
      <c r="F85" s="659" t="s">
        <v>43</v>
      </c>
      <c r="G85" s="660" t="s">
        <v>47</v>
      </c>
      <c r="H85" s="660" t="s">
        <v>475</v>
      </c>
      <c r="I85" s="661" t="s">
        <v>46</v>
      </c>
      <c r="J85" s="17"/>
      <c r="K85" s="33">
        <f t="shared" ref="K85:M86" si="13">K86</f>
        <v>120.1</v>
      </c>
      <c r="L85" s="33">
        <f t="shared" si="13"/>
        <v>0</v>
      </c>
      <c r="M85" s="33">
        <f t="shared" si="13"/>
        <v>120.1</v>
      </c>
    </row>
    <row r="86" spans="1:13" s="152" customFormat="1" ht="39" customHeight="1" x14ac:dyDescent="0.35">
      <c r="A86" s="18"/>
      <c r="B86" s="36" t="s">
        <v>129</v>
      </c>
      <c r="C86" s="32" t="s">
        <v>2</v>
      </c>
      <c r="D86" s="17" t="s">
        <v>39</v>
      </c>
      <c r="E86" s="17" t="s">
        <v>73</v>
      </c>
      <c r="F86" s="659" t="s">
        <v>43</v>
      </c>
      <c r="G86" s="660" t="s">
        <v>47</v>
      </c>
      <c r="H86" s="660" t="s">
        <v>475</v>
      </c>
      <c r="I86" s="661" t="s">
        <v>92</v>
      </c>
      <c r="J86" s="17"/>
      <c r="K86" s="33">
        <f t="shared" si="13"/>
        <v>120.1</v>
      </c>
      <c r="L86" s="33">
        <f t="shared" si="13"/>
        <v>0</v>
      </c>
      <c r="M86" s="33">
        <f t="shared" si="13"/>
        <v>120.1</v>
      </c>
    </row>
    <row r="87" spans="1:13" s="152" customFormat="1" ht="56.25" customHeight="1" x14ac:dyDescent="0.35">
      <c r="A87" s="18"/>
      <c r="B87" s="31" t="s">
        <v>57</v>
      </c>
      <c r="C87" s="32" t="s">
        <v>2</v>
      </c>
      <c r="D87" s="17" t="s">
        <v>39</v>
      </c>
      <c r="E87" s="17" t="s">
        <v>73</v>
      </c>
      <c r="F87" s="659" t="s">
        <v>43</v>
      </c>
      <c r="G87" s="660" t="s">
        <v>47</v>
      </c>
      <c r="H87" s="660" t="s">
        <v>475</v>
      </c>
      <c r="I87" s="661" t="s">
        <v>92</v>
      </c>
      <c r="J87" s="17" t="s">
        <v>58</v>
      </c>
      <c r="K87" s="33">
        <v>120.1</v>
      </c>
      <c r="L87" s="33">
        <f>M87-K87</f>
        <v>0</v>
      </c>
      <c r="M87" s="33">
        <v>120.1</v>
      </c>
    </row>
    <row r="88" spans="1:13" s="152" customFormat="1" ht="35.25" customHeight="1" x14ac:dyDescent="0.35">
      <c r="A88" s="18"/>
      <c r="B88" s="31" t="s">
        <v>544</v>
      </c>
      <c r="C88" s="32" t="s">
        <v>2</v>
      </c>
      <c r="D88" s="17" t="s">
        <v>39</v>
      </c>
      <c r="E88" s="17" t="s">
        <v>73</v>
      </c>
      <c r="F88" s="659" t="s">
        <v>43</v>
      </c>
      <c r="G88" s="660" t="s">
        <v>47</v>
      </c>
      <c r="H88" s="660" t="s">
        <v>43</v>
      </c>
      <c r="I88" s="661" t="s">
        <v>46</v>
      </c>
      <c r="J88" s="17"/>
      <c r="K88" s="33">
        <f t="shared" ref="K88:M89" si="14">K89</f>
        <v>60</v>
      </c>
      <c r="L88" s="33">
        <f t="shared" si="14"/>
        <v>0</v>
      </c>
      <c r="M88" s="33">
        <f t="shared" si="14"/>
        <v>60</v>
      </c>
    </row>
    <row r="89" spans="1:13" s="152" customFormat="1" ht="25.5" customHeight="1" x14ac:dyDescent="0.35">
      <c r="A89" s="18"/>
      <c r="B89" s="36" t="s">
        <v>542</v>
      </c>
      <c r="C89" s="32" t="s">
        <v>2</v>
      </c>
      <c r="D89" s="17" t="s">
        <v>39</v>
      </c>
      <c r="E89" s="17" t="s">
        <v>73</v>
      </c>
      <c r="F89" s="659" t="s">
        <v>43</v>
      </c>
      <c r="G89" s="660" t="s">
        <v>47</v>
      </c>
      <c r="H89" s="660" t="s">
        <v>43</v>
      </c>
      <c r="I89" s="661" t="s">
        <v>543</v>
      </c>
      <c r="J89" s="17"/>
      <c r="K89" s="33">
        <f t="shared" si="14"/>
        <v>60</v>
      </c>
      <c r="L89" s="33">
        <f t="shared" si="14"/>
        <v>0</v>
      </c>
      <c r="M89" s="33">
        <f t="shared" si="14"/>
        <v>60</v>
      </c>
    </row>
    <row r="90" spans="1:13" s="152" customFormat="1" ht="56.25" customHeight="1" x14ac:dyDescent="0.35">
      <c r="A90" s="18"/>
      <c r="B90" s="31" t="s">
        <v>57</v>
      </c>
      <c r="C90" s="32" t="s">
        <v>2</v>
      </c>
      <c r="D90" s="17" t="s">
        <v>39</v>
      </c>
      <c r="E90" s="17" t="s">
        <v>73</v>
      </c>
      <c r="F90" s="659" t="s">
        <v>43</v>
      </c>
      <c r="G90" s="660" t="s">
        <v>47</v>
      </c>
      <c r="H90" s="660" t="s">
        <v>43</v>
      </c>
      <c r="I90" s="661" t="s">
        <v>543</v>
      </c>
      <c r="J90" s="17" t="s">
        <v>58</v>
      </c>
      <c r="K90" s="33">
        <v>60</v>
      </c>
      <c r="L90" s="33">
        <f>M90-K90</f>
        <v>0</v>
      </c>
      <c r="M90" s="33">
        <v>60</v>
      </c>
    </row>
    <row r="91" spans="1:13" s="152" customFormat="1" ht="37.5" customHeight="1" x14ac:dyDescent="0.35">
      <c r="A91" s="18"/>
      <c r="B91" s="31" t="s">
        <v>80</v>
      </c>
      <c r="C91" s="32" t="s">
        <v>2</v>
      </c>
      <c r="D91" s="17" t="s">
        <v>65</v>
      </c>
      <c r="E91" s="17"/>
      <c r="F91" s="659"/>
      <c r="G91" s="660"/>
      <c r="H91" s="660"/>
      <c r="I91" s="661"/>
      <c r="J91" s="17"/>
      <c r="K91" s="33">
        <f>K92+K104</f>
        <v>19116.8</v>
      </c>
      <c r="L91" s="33">
        <f>L92+L104</f>
        <v>8629.6</v>
      </c>
      <c r="M91" s="33">
        <f>M92+M104</f>
        <v>27746.400000000001</v>
      </c>
    </row>
    <row r="92" spans="1:13" s="152" customFormat="1" ht="72.75" customHeight="1" x14ac:dyDescent="0.35">
      <c r="A92" s="18"/>
      <c r="B92" s="31" t="s">
        <v>538</v>
      </c>
      <c r="C92" s="32" t="s">
        <v>2</v>
      </c>
      <c r="D92" s="17" t="s">
        <v>65</v>
      </c>
      <c r="E92" s="17" t="s">
        <v>106</v>
      </c>
      <c r="F92" s="659"/>
      <c r="G92" s="660"/>
      <c r="H92" s="660"/>
      <c r="I92" s="661"/>
      <c r="J92" s="17"/>
      <c r="K92" s="33">
        <f>K93</f>
        <v>3610.0000000000005</v>
      </c>
      <c r="L92" s="33">
        <f>L93</f>
        <v>8265.2000000000007</v>
      </c>
      <c r="M92" s="33">
        <f>M93</f>
        <v>11875.199999999999</v>
      </c>
    </row>
    <row r="93" spans="1:13" s="152" customFormat="1" ht="57" customHeight="1" x14ac:dyDescent="0.35">
      <c r="A93" s="18"/>
      <c r="B93" s="31" t="s">
        <v>82</v>
      </c>
      <c r="C93" s="32" t="s">
        <v>2</v>
      </c>
      <c r="D93" s="17" t="s">
        <v>65</v>
      </c>
      <c r="E93" s="17" t="s">
        <v>106</v>
      </c>
      <c r="F93" s="659" t="s">
        <v>83</v>
      </c>
      <c r="G93" s="660" t="s">
        <v>44</v>
      </c>
      <c r="H93" s="660" t="s">
        <v>45</v>
      </c>
      <c r="I93" s="661" t="s">
        <v>46</v>
      </c>
      <c r="J93" s="17"/>
      <c r="K93" s="33">
        <f t="shared" ref="K93:M93" si="15">K94</f>
        <v>3610.0000000000005</v>
      </c>
      <c r="L93" s="33">
        <f t="shared" si="15"/>
        <v>8265.2000000000007</v>
      </c>
      <c r="M93" s="33">
        <f t="shared" si="15"/>
        <v>11875.199999999999</v>
      </c>
    </row>
    <row r="94" spans="1:13" s="152" customFormat="1" ht="58.5" customHeight="1" x14ac:dyDescent="0.35">
      <c r="A94" s="18"/>
      <c r="B94" s="37" t="s">
        <v>84</v>
      </c>
      <c r="C94" s="32" t="s">
        <v>2</v>
      </c>
      <c r="D94" s="17" t="s">
        <v>65</v>
      </c>
      <c r="E94" s="17" t="s">
        <v>106</v>
      </c>
      <c r="F94" s="659" t="s">
        <v>83</v>
      </c>
      <c r="G94" s="660" t="s">
        <v>47</v>
      </c>
      <c r="H94" s="660" t="s">
        <v>45</v>
      </c>
      <c r="I94" s="661" t="s">
        <v>46</v>
      </c>
      <c r="J94" s="17"/>
      <c r="K94" s="33">
        <f>K95</f>
        <v>3610.0000000000005</v>
      </c>
      <c r="L94" s="33">
        <f>L95</f>
        <v>8265.2000000000007</v>
      </c>
      <c r="M94" s="33">
        <f>M95</f>
        <v>11875.199999999999</v>
      </c>
    </row>
    <row r="95" spans="1:13" s="152" customFormat="1" ht="78.75" customHeight="1" x14ac:dyDescent="0.35">
      <c r="A95" s="18"/>
      <c r="B95" s="31" t="s">
        <v>85</v>
      </c>
      <c r="C95" s="32" t="s">
        <v>2</v>
      </c>
      <c r="D95" s="17" t="s">
        <v>65</v>
      </c>
      <c r="E95" s="17" t="s">
        <v>106</v>
      </c>
      <c r="F95" s="659" t="s">
        <v>83</v>
      </c>
      <c r="G95" s="660" t="s">
        <v>47</v>
      </c>
      <c r="H95" s="660" t="s">
        <v>39</v>
      </c>
      <c r="I95" s="661" t="s">
        <v>46</v>
      </c>
      <c r="J95" s="17"/>
      <c r="K95" s="33">
        <f t="shared" ref="K95" si="16">K96+K98+K100+K103</f>
        <v>3610.0000000000005</v>
      </c>
      <c r="L95" s="33">
        <f t="shared" ref="L95" si="17">L96+L98+L100+L103</f>
        <v>8265.2000000000007</v>
      </c>
      <c r="M95" s="33">
        <f t="shared" ref="M95" si="18">M96+M98+M100+M103</f>
        <v>11875.199999999999</v>
      </c>
    </row>
    <row r="96" spans="1:13" s="152" customFormat="1" ht="37.5" customHeight="1" x14ac:dyDescent="0.35">
      <c r="A96" s="18"/>
      <c r="B96" s="37" t="s">
        <v>525</v>
      </c>
      <c r="C96" s="32" t="s">
        <v>2</v>
      </c>
      <c r="D96" s="17" t="s">
        <v>65</v>
      </c>
      <c r="E96" s="17" t="s">
        <v>106</v>
      </c>
      <c r="F96" s="659" t="s">
        <v>83</v>
      </c>
      <c r="G96" s="660" t="s">
        <v>47</v>
      </c>
      <c r="H96" s="660" t="s">
        <v>39</v>
      </c>
      <c r="I96" s="661" t="s">
        <v>86</v>
      </c>
      <c r="J96" s="17"/>
      <c r="K96" s="33">
        <f>K97</f>
        <v>298.39999999999998</v>
      </c>
      <c r="L96" s="33">
        <f>L97</f>
        <v>0</v>
      </c>
      <c r="M96" s="33">
        <f>M97</f>
        <v>298.39999999999998</v>
      </c>
    </row>
    <row r="97" spans="1:13" s="152" customFormat="1" ht="56.25" customHeight="1" x14ac:dyDescent="0.35">
      <c r="A97" s="18"/>
      <c r="B97" s="31" t="s">
        <v>57</v>
      </c>
      <c r="C97" s="32" t="s">
        <v>2</v>
      </c>
      <c r="D97" s="17" t="s">
        <v>65</v>
      </c>
      <c r="E97" s="17" t="s">
        <v>106</v>
      </c>
      <c r="F97" s="659" t="s">
        <v>83</v>
      </c>
      <c r="G97" s="660" t="s">
        <v>47</v>
      </c>
      <c r="H97" s="660" t="s">
        <v>39</v>
      </c>
      <c r="I97" s="661" t="s">
        <v>86</v>
      </c>
      <c r="J97" s="17" t="s">
        <v>58</v>
      </c>
      <c r="K97" s="33">
        <v>298.39999999999998</v>
      </c>
      <c r="L97" s="33">
        <f>M97-K97</f>
        <v>0</v>
      </c>
      <c r="M97" s="33">
        <v>298.39999999999998</v>
      </c>
    </row>
    <row r="98" spans="1:13" s="152" customFormat="1" ht="56.25" customHeight="1" x14ac:dyDescent="0.35">
      <c r="A98" s="18"/>
      <c r="B98" s="31" t="s">
        <v>87</v>
      </c>
      <c r="C98" s="32" t="s">
        <v>2</v>
      </c>
      <c r="D98" s="17" t="s">
        <v>65</v>
      </c>
      <c r="E98" s="17" t="s">
        <v>106</v>
      </c>
      <c r="F98" s="659" t="s">
        <v>83</v>
      </c>
      <c r="G98" s="660" t="s">
        <v>47</v>
      </c>
      <c r="H98" s="660" t="s">
        <v>39</v>
      </c>
      <c r="I98" s="661" t="s">
        <v>88</v>
      </c>
      <c r="J98" s="17"/>
      <c r="K98" s="33">
        <f>K99</f>
        <v>223.9</v>
      </c>
      <c r="L98" s="33">
        <f>L99</f>
        <v>0</v>
      </c>
      <c r="M98" s="33">
        <f>M99</f>
        <v>223.9</v>
      </c>
    </row>
    <row r="99" spans="1:13" s="152" customFormat="1" ht="56.25" customHeight="1" x14ac:dyDescent="0.35">
      <c r="A99" s="18"/>
      <c r="B99" s="31" t="s">
        <v>57</v>
      </c>
      <c r="C99" s="32" t="s">
        <v>2</v>
      </c>
      <c r="D99" s="17" t="s">
        <v>65</v>
      </c>
      <c r="E99" s="17" t="s">
        <v>106</v>
      </c>
      <c r="F99" s="659" t="s">
        <v>83</v>
      </c>
      <c r="G99" s="660" t="s">
        <v>47</v>
      </c>
      <c r="H99" s="660" t="s">
        <v>39</v>
      </c>
      <c r="I99" s="661" t="s">
        <v>88</v>
      </c>
      <c r="J99" s="17" t="s">
        <v>58</v>
      </c>
      <c r="K99" s="33">
        <v>223.9</v>
      </c>
      <c r="L99" s="33">
        <f>M99-K99</f>
        <v>0</v>
      </c>
      <c r="M99" s="33">
        <v>223.9</v>
      </c>
    </row>
    <row r="100" spans="1:13" s="152" customFormat="1" ht="94.5" customHeight="1" x14ac:dyDescent="0.35">
      <c r="A100" s="18"/>
      <c r="B100" s="31" t="s">
        <v>346</v>
      </c>
      <c r="C100" s="32" t="s">
        <v>2</v>
      </c>
      <c r="D100" s="17" t="s">
        <v>65</v>
      </c>
      <c r="E100" s="17" t="s">
        <v>106</v>
      </c>
      <c r="F100" s="659" t="s">
        <v>83</v>
      </c>
      <c r="G100" s="660" t="s">
        <v>47</v>
      </c>
      <c r="H100" s="660" t="s">
        <v>39</v>
      </c>
      <c r="I100" s="661" t="s">
        <v>334</v>
      </c>
      <c r="J100" s="17"/>
      <c r="K100" s="33">
        <f>K101</f>
        <v>3075.3</v>
      </c>
      <c r="L100" s="33">
        <f>L101</f>
        <v>8265.2000000000007</v>
      </c>
      <c r="M100" s="33">
        <f>M101</f>
        <v>11340.5</v>
      </c>
    </row>
    <row r="101" spans="1:13" s="152" customFormat="1" ht="18.75" customHeight="1" x14ac:dyDescent="0.35">
      <c r="A101" s="18"/>
      <c r="B101" s="31" t="s">
        <v>125</v>
      </c>
      <c r="C101" s="32" t="s">
        <v>2</v>
      </c>
      <c r="D101" s="17" t="s">
        <v>65</v>
      </c>
      <c r="E101" s="17" t="s">
        <v>106</v>
      </c>
      <c r="F101" s="659" t="s">
        <v>83</v>
      </c>
      <c r="G101" s="660" t="s">
        <v>47</v>
      </c>
      <c r="H101" s="660" t="s">
        <v>39</v>
      </c>
      <c r="I101" s="661" t="s">
        <v>334</v>
      </c>
      <c r="J101" s="17" t="s">
        <v>126</v>
      </c>
      <c r="K101" s="33">
        <v>3075.3</v>
      </c>
      <c r="L101" s="33">
        <f>M101-K101</f>
        <v>8265.2000000000007</v>
      </c>
      <c r="M101" s="33">
        <f>3075.3+8265.2</f>
        <v>11340.5</v>
      </c>
    </row>
    <row r="102" spans="1:13" s="152" customFormat="1" ht="131.25" customHeight="1" x14ac:dyDescent="0.35">
      <c r="A102" s="18"/>
      <c r="B102" s="31" t="s">
        <v>348</v>
      </c>
      <c r="C102" s="32" t="s">
        <v>2</v>
      </c>
      <c r="D102" s="17" t="s">
        <v>65</v>
      </c>
      <c r="E102" s="17" t="s">
        <v>106</v>
      </c>
      <c r="F102" s="659" t="s">
        <v>83</v>
      </c>
      <c r="G102" s="660" t="s">
        <v>47</v>
      </c>
      <c r="H102" s="660" t="s">
        <v>39</v>
      </c>
      <c r="I102" s="661" t="s">
        <v>335</v>
      </c>
      <c r="J102" s="17"/>
      <c r="K102" s="33">
        <f>K103</f>
        <v>12.4</v>
      </c>
      <c r="L102" s="33">
        <f>L103</f>
        <v>0</v>
      </c>
      <c r="M102" s="33">
        <f>M103</f>
        <v>12.4</v>
      </c>
    </row>
    <row r="103" spans="1:13" s="152" customFormat="1" ht="18.75" customHeight="1" x14ac:dyDescent="0.35">
      <c r="A103" s="18"/>
      <c r="B103" s="31" t="s">
        <v>125</v>
      </c>
      <c r="C103" s="32" t="s">
        <v>2</v>
      </c>
      <c r="D103" s="17" t="s">
        <v>65</v>
      </c>
      <c r="E103" s="17" t="s">
        <v>106</v>
      </c>
      <c r="F103" s="659" t="s">
        <v>83</v>
      </c>
      <c r="G103" s="660" t="s">
        <v>47</v>
      </c>
      <c r="H103" s="660" t="s">
        <v>39</v>
      </c>
      <c r="I103" s="661" t="s">
        <v>335</v>
      </c>
      <c r="J103" s="17" t="s">
        <v>126</v>
      </c>
      <c r="K103" s="33">
        <v>12.4</v>
      </c>
      <c r="L103" s="33">
        <f>M103-K103</f>
        <v>0</v>
      </c>
      <c r="M103" s="33">
        <v>12.4</v>
      </c>
    </row>
    <row r="104" spans="1:13" s="152" customFormat="1" ht="56.25" customHeight="1" x14ac:dyDescent="0.35">
      <c r="A104" s="18"/>
      <c r="B104" s="36" t="s">
        <v>89</v>
      </c>
      <c r="C104" s="32" t="s">
        <v>2</v>
      </c>
      <c r="D104" s="17" t="s">
        <v>65</v>
      </c>
      <c r="E104" s="17" t="s">
        <v>90</v>
      </c>
      <c r="F104" s="659"/>
      <c r="G104" s="660"/>
      <c r="H104" s="660"/>
      <c r="I104" s="661"/>
      <c r="J104" s="17"/>
      <c r="K104" s="33">
        <f>K105</f>
        <v>15506.8</v>
      </c>
      <c r="L104" s="33">
        <f>L105</f>
        <v>364.40000000000009</v>
      </c>
      <c r="M104" s="33">
        <f>M105</f>
        <v>15871.2</v>
      </c>
    </row>
    <row r="105" spans="1:13" s="152" customFormat="1" ht="60.75" customHeight="1" x14ac:dyDescent="0.35">
      <c r="A105" s="18"/>
      <c r="B105" s="31" t="s">
        <v>82</v>
      </c>
      <c r="C105" s="32" t="s">
        <v>2</v>
      </c>
      <c r="D105" s="17" t="s">
        <v>65</v>
      </c>
      <c r="E105" s="17" t="s">
        <v>90</v>
      </c>
      <c r="F105" s="659" t="s">
        <v>83</v>
      </c>
      <c r="G105" s="660" t="s">
        <v>44</v>
      </c>
      <c r="H105" s="660" t="s">
        <v>45</v>
      </c>
      <c r="I105" s="661" t="s">
        <v>46</v>
      </c>
      <c r="J105" s="17"/>
      <c r="K105" s="33">
        <f>K106+K115+K124</f>
        <v>15506.8</v>
      </c>
      <c r="L105" s="33">
        <f>L106+L115+L124</f>
        <v>364.40000000000009</v>
      </c>
      <c r="M105" s="33">
        <f>M106+M115+M124</f>
        <v>15871.2</v>
      </c>
    </row>
    <row r="106" spans="1:13" s="152" customFormat="1" ht="37.5" customHeight="1" x14ac:dyDescent="0.35">
      <c r="A106" s="18"/>
      <c r="B106" s="36" t="s">
        <v>127</v>
      </c>
      <c r="C106" s="32" t="s">
        <v>2</v>
      </c>
      <c r="D106" s="17" t="s">
        <v>65</v>
      </c>
      <c r="E106" s="17" t="s">
        <v>90</v>
      </c>
      <c r="F106" s="659" t="s">
        <v>83</v>
      </c>
      <c r="G106" s="660" t="s">
        <v>91</v>
      </c>
      <c r="H106" s="660" t="s">
        <v>45</v>
      </c>
      <c r="I106" s="661" t="s">
        <v>46</v>
      </c>
      <c r="J106" s="17"/>
      <c r="K106" s="33">
        <f>K112+K107</f>
        <v>2151.5</v>
      </c>
      <c r="L106" s="33">
        <f>L112+L107</f>
        <v>0</v>
      </c>
      <c r="M106" s="33">
        <f>M112+M107</f>
        <v>2151.5</v>
      </c>
    </row>
    <row r="107" spans="1:13" s="152" customFormat="1" ht="44.25" customHeight="1" x14ac:dyDescent="0.35">
      <c r="A107" s="18"/>
      <c r="B107" s="36" t="s">
        <v>273</v>
      </c>
      <c r="C107" s="32" t="s">
        <v>2</v>
      </c>
      <c r="D107" s="17" t="s">
        <v>65</v>
      </c>
      <c r="E107" s="17" t="s">
        <v>90</v>
      </c>
      <c r="F107" s="659" t="s">
        <v>83</v>
      </c>
      <c r="G107" s="660" t="s">
        <v>91</v>
      </c>
      <c r="H107" s="660" t="s">
        <v>39</v>
      </c>
      <c r="I107" s="661" t="s">
        <v>46</v>
      </c>
      <c r="J107" s="17"/>
      <c r="K107" s="33">
        <f>K110+K108</f>
        <v>1707.8999999999999</v>
      </c>
      <c r="L107" s="33">
        <f>L110+L108</f>
        <v>0</v>
      </c>
      <c r="M107" s="33">
        <f>M110+M108</f>
        <v>1707.8999999999999</v>
      </c>
    </row>
    <row r="108" spans="1:13" s="152" customFormat="1" ht="37.5" customHeight="1" x14ac:dyDescent="0.35">
      <c r="A108" s="18"/>
      <c r="B108" s="34" t="s">
        <v>129</v>
      </c>
      <c r="C108" s="32" t="s">
        <v>2</v>
      </c>
      <c r="D108" s="17" t="s">
        <v>65</v>
      </c>
      <c r="E108" s="17" t="s">
        <v>90</v>
      </c>
      <c r="F108" s="659" t="s">
        <v>83</v>
      </c>
      <c r="G108" s="660" t="s">
        <v>91</v>
      </c>
      <c r="H108" s="660" t="s">
        <v>39</v>
      </c>
      <c r="I108" s="661" t="s">
        <v>92</v>
      </c>
      <c r="J108" s="17"/>
      <c r="K108" s="33">
        <f>K109</f>
        <v>1585.8</v>
      </c>
      <c r="L108" s="33">
        <f>L109</f>
        <v>0</v>
      </c>
      <c r="M108" s="33">
        <f>M109</f>
        <v>1585.8</v>
      </c>
    </row>
    <row r="109" spans="1:13" s="152" customFormat="1" ht="56.25" customHeight="1" x14ac:dyDescent="0.35">
      <c r="A109" s="18"/>
      <c r="B109" s="31" t="s">
        <v>57</v>
      </c>
      <c r="C109" s="32" t="s">
        <v>2</v>
      </c>
      <c r="D109" s="17" t="s">
        <v>65</v>
      </c>
      <c r="E109" s="17" t="s">
        <v>90</v>
      </c>
      <c r="F109" s="659" t="s">
        <v>83</v>
      </c>
      <c r="G109" s="660" t="s">
        <v>91</v>
      </c>
      <c r="H109" s="660" t="s">
        <v>39</v>
      </c>
      <c r="I109" s="661" t="s">
        <v>92</v>
      </c>
      <c r="J109" s="17" t="s">
        <v>58</v>
      </c>
      <c r="K109" s="33">
        <f>1370.8+215</f>
        <v>1585.8</v>
      </c>
      <c r="L109" s="33">
        <f>M109-K109</f>
        <v>0</v>
      </c>
      <c r="M109" s="33">
        <f>1370.8+215</f>
        <v>1585.8</v>
      </c>
    </row>
    <row r="110" spans="1:13" s="152" customFormat="1" ht="107.4" customHeight="1" x14ac:dyDescent="0.35">
      <c r="A110" s="18"/>
      <c r="B110" s="36" t="s">
        <v>347</v>
      </c>
      <c r="C110" s="32" t="s">
        <v>2</v>
      </c>
      <c r="D110" s="17" t="s">
        <v>65</v>
      </c>
      <c r="E110" s="17" t="s">
        <v>90</v>
      </c>
      <c r="F110" s="659" t="s">
        <v>83</v>
      </c>
      <c r="G110" s="660" t="s">
        <v>91</v>
      </c>
      <c r="H110" s="660" t="s">
        <v>39</v>
      </c>
      <c r="I110" s="661" t="s">
        <v>336</v>
      </c>
      <c r="J110" s="17"/>
      <c r="K110" s="33">
        <f>K111</f>
        <v>122.1</v>
      </c>
      <c r="L110" s="33">
        <f>L111</f>
        <v>0</v>
      </c>
      <c r="M110" s="33">
        <f>M111</f>
        <v>122.1</v>
      </c>
    </row>
    <row r="111" spans="1:13" s="152" customFormat="1" ht="18.75" customHeight="1" x14ac:dyDescent="0.35">
      <c r="A111" s="18"/>
      <c r="B111" s="36" t="s">
        <v>125</v>
      </c>
      <c r="C111" s="32" t="s">
        <v>2</v>
      </c>
      <c r="D111" s="17" t="s">
        <v>65</v>
      </c>
      <c r="E111" s="17" t="s">
        <v>90</v>
      </c>
      <c r="F111" s="659" t="s">
        <v>83</v>
      </c>
      <c r="G111" s="660" t="s">
        <v>91</v>
      </c>
      <c r="H111" s="660" t="s">
        <v>39</v>
      </c>
      <c r="I111" s="661" t="s">
        <v>336</v>
      </c>
      <c r="J111" s="17" t="s">
        <v>126</v>
      </c>
      <c r="K111" s="33">
        <v>122.1</v>
      </c>
      <c r="L111" s="33">
        <f>M111-K111</f>
        <v>0</v>
      </c>
      <c r="M111" s="33">
        <v>122.1</v>
      </c>
    </row>
    <row r="112" spans="1:13" s="152" customFormat="1" ht="56.25" customHeight="1" x14ac:dyDescent="0.35">
      <c r="A112" s="18"/>
      <c r="B112" s="34" t="s">
        <v>128</v>
      </c>
      <c r="C112" s="32" t="s">
        <v>2</v>
      </c>
      <c r="D112" s="17" t="s">
        <v>65</v>
      </c>
      <c r="E112" s="17" t="s">
        <v>90</v>
      </c>
      <c r="F112" s="659" t="s">
        <v>83</v>
      </c>
      <c r="G112" s="660" t="s">
        <v>91</v>
      </c>
      <c r="H112" s="660" t="s">
        <v>41</v>
      </c>
      <c r="I112" s="661" t="s">
        <v>46</v>
      </c>
      <c r="J112" s="17"/>
      <c r="K112" s="33">
        <f t="shared" ref="K112:M113" si="19">K113</f>
        <v>443.6</v>
      </c>
      <c r="L112" s="33">
        <f t="shared" si="19"/>
        <v>0</v>
      </c>
      <c r="M112" s="33">
        <f t="shared" si="19"/>
        <v>443.6</v>
      </c>
    </row>
    <row r="113" spans="1:13" s="152" customFormat="1" ht="37.5" customHeight="1" x14ac:dyDescent="0.35">
      <c r="A113" s="18"/>
      <c r="B113" s="34" t="s">
        <v>129</v>
      </c>
      <c r="C113" s="32" t="s">
        <v>2</v>
      </c>
      <c r="D113" s="17" t="s">
        <v>65</v>
      </c>
      <c r="E113" s="17" t="s">
        <v>90</v>
      </c>
      <c r="F113" s="659" t="s">
        <v>83</v>
      </c>
      <c r="G113" s="660" t="s">
        <v>91</v>
      </c>
      <c r="H113" s="660" t="s">
        <v>41</v>
      </c>
      <c r="I113" s="661" t="s">
        <v>92</v>
      </c>
      <c r="J113" s="17"/>
      <c r="K113" s="33">
        <f t="shared" si="19"/>
        <v>443.6</v>
      </c>
      <c r="L113" s="33">
        <f t="shared" si="19"/>
        <v>0</v>
      </c>
      <c r="M113" s="33">
        <f t="shared" si="19"/>
        <v>443.6</v>
      </c>
    </row>
    <row r="114" spans="1:13" s="152" customFormat="1" ht="56.25" customHeight="1" x14ac:dyDescent="0.35">
      <c r="A114" s="18"/>
      <c r="B114" s="31" t="s">
        <v>57</v>
      </c>
      <c r="C114" s="32" t="s">
        <v>2</v>
      </c>
      <c r="D114" s="17" t="s">
        <v>65</v>
      </c>
      <c r="E114" s="17" t="s">
        <v>90</v>
      </c>
      <c r="F114" s="659" t="s">
        <v>83</v>
      </c>
      <c r="G114" s="660" t="s">
        <v>91</v>
      </c>
      <c r="H114" s="660" t="s">
        <v>41</v>
      </c>
      <c r="I114" s="661" t="s">
        <v>92</v>
      </c>
      <c r="J114" s="17" t="s">
        <v>58</v>
      </c>
      <c r="K114" s="33">
        <v>443.6</v>
      </c>
      <c r="L114" s="33">
        <f>M114-K114</f>
        <v>0</v>
      </c>
      <c r="M114" s="33">
        <v>443.6</v>
      </c>
    </row>
    <row r="115" spans="1:13" s="152" customFormat="1" ht="75" customHeight="1" x14ac:dyDescent="0.35">
      <c r="A115" s="18"/>
      <c r="B115" s="36" t="s">
        <v>377</v>
      </c>
      <c r="C115" s="32" t="s">
        <v>2</v>
      </c>
      <c r="D115" s="17" t="s">
        <v>65</v>
      </c>
      <c r="E115" s="17" t="s">
        <v>90</v>
      </c>
      <c r="F115" s="659" t="s">
        <v>83</v>
      </c>
      <c r="G115" s="660" t="s">
        <v>32</v>
      </c>
      <c r="H115" s="660" t="s">
        <v>45</v>
      </c>
      <c r="I115" s="661" t="s">
        <v>46</v>
      </c>
      <c r="J115" s="17"/>
      <c r="K115" s="33">
        <f t="shared" ref="K115:M116" si="20">K116</f>
        <v>13333.5</v>
      </c>
      <c r="L115" s="33">
        <f>L116+L121</f>
        <v>364.40000000000009</v>
      </c>
      <c r="M115" s="33">
        <f>M116+M121</f>
        <v>13697.900000000001</v>
      </c>
    </row>
    <row r="116" spans="1:13" s="152" customFormat="1" ht="75.599999999999994" customHeight="1" x14ac:dyDescent="0.35">
      <c r="A116" s="18"/>
      <c r="B116" s="34" t="s">
        <v>327</v>
      </c>
      <c r="C116" s="32" t="s">
        <v>2</v>
      </c>
      <c r="D116" s="17" t="s">
        <v>65</v>
      </c>
      <c r="E116" s="17" t="s">
        <v>90</v>
      </c>
      <c r="F116" s="659" t="s">
        <v>83</v>
      </c>
      <c r="G116" s="660" t="s">
        <v>32</v>
      </c>
      <c r="H116" s="660" t="s">
        <v>39</v>
      </c>
      <c r="I116" s="661" t="s">
        <v>46</v>
      </c>
      <c r="J116" s="17"/>
      <c r="K116" s="33">
        <f t="shared" si="20"/>
        <v>13333.5</v>
      </c>
      <c r="L116" s="33">
        <f t="shared" si="20"/>
        <v>67.900000000000091</v>
      </c>
      <c r="M116" s="33">
        <f t="shared" si="20"/>
        <v>13401.400000000001</v>
      </c>
    </row>
    <row r="117" spans="1:13" s="152" customFormat="1" ht="45.75" customHeight="1" x14ac:dyDescent="0.35">
      <c r="A117" s="18"/>
      <c r="B117" s="34" t="s">
        <v>540</v>
      </c>
      <c r="C117" s="32" t="s">
        <v>2</v>
      </c>
      <c r="D117" s="17" t="s">
        <v>65</v>
      </c>
      <c r="E117" s="17" t="s">
        <v>90</v>
      </c>
      <c r="F117" s="659" t="s">
        <v>83</v>
      </c>
      <c r="G117" s="660" t="s">
        <v>32</v>
      </c>
      <c r="H117" s="660" t="s">
        <v>39</v>
      </c>
      <c r="I117" s="661" t="s">
        <v>93</v>
      </c>
      <c r="J117" s="17"/>
      <c r="K117" s="33">
        <f>K118+K119+K120</f>
        <v>13333.5</v>
      </c>
      <c r="L117" s="33">
        <f>L118+L119+L120</f>
        <v>67.900000000000091</v>
      </c>
      <c r="M117" s="33">
        <f>M118+M119+M120</f>
        <v>13401.400000000001</v>
      </c>
    </row>
    <row r="118" spans="1:13" s="152" customFormat="1" ht="112.5" customHeight="1" x14ac:dyDescent="0.35">
      <c r="A118" s="18"/>
      <c r="B118" s="31" t="s">
        <v>51</v>
      </c>
      <c r="C118" s="32" t="s">
        <v>2</v>
      </c>
      <c r="D118" s="17" t="s">
        <v>65</v>
      </c>
      <c r="E118" s="17" t="s">
        <v>90</v>
      </c>
      <c r="F118" s="659" t="s">
        <v>83</v>
      </c>
      <c r="G118" s="660" t="s">
        <v>32</v>
      </c>
      <c r="H118" s="660" t="s">
        <v>39</v>
      </c>
      <c r="I118" s="661" t="s">
        <v>93</v>
      </c>
      <c r="J118" s="17" t="s">
        <v>52</v>
      </c>
      <c r="K118" s="33">
        <f>10298.6+40.2+413+542.5</f>
        <v>11294.300000000001</v>
      </c>
      <c r="L118" s="33">
        <f>M118-K118</f>
        <v>0</v>
      </c>
      <c r="M118" s="33">
        <f>10298.6+40.2+413+542.5</f>
        <v>11294.300000000001</v>
      </c>
    </row>
    <row r="119" spans="1:13" s="152" customFormat="1" ht="56.25" customHeight="1" x14ac:dyDescent="0.35">
      <c r="A119" s="18"/>
      <c r="B119" s="31" t="s">
        <v>57</v>
      </c>
      <c r="C119" s="32" t="s">
        <v>2</v>
      </c>
      <c r="D119" s="17" t="s">
        <v>65</v>
      </c>
      <c r="E119" s="17" t="s">
        <v>90</v>
      </c>
      <c r="F119" s="659" t="s">
        <v>83</v>
      </c>
      <c r="G119" s="660" t="s">
        <v>32</v>
      </c>
      <c r="H119" s="660" t="s">
        <v>39</v>
      </c>
      <c r="I119" s="661" t="s">
        <v>93</v>
      </c>
      <c r="J119" s="17" t="s">
        <v>58</v>
      </c>
      <c r="K119" s="33">
        <v>2032.9</v>
      </c>
      <c r="L119" s="33">
        <f>M119-K119</f>
        <v>67.900000000000091</v>
      </c>
      <c r="M119" s="33">
        <f>2032.9+67.9</f>
        <v>2100.8000000000002</v>
      </c>
    </row>
    <row r="120" spans="1:13" s="152" customFormat="1" ht="18.75" customHeight="1" x14ac:dyDescent="0.35">
      <c r="A120" s="18"/>
      <c r="B120" s="31" t="s">
        <v>59</v>
      </c>
      <c r="C120" s="32" t="s">
        <v>2</v>
      </c>
      <c r="D120" s="17" t="s">
        <v>65</v>
      </c>
      <c r="E120" s="17" t="s">
        <v>90</v>
      </c>
      <c r="F120" s="659" t="s">
        <v>83</v>
      </c>
      <c r="G120" s="660" t="s">
        <v>32</v>
      </c>
      <c r="H120" s="660" t="s">
        <v>39</v>
      </c>
      <c r="I120" s="661" t="s">
        <v>93</v>
      </c>
      <c r="J120" s="17" t="s">
        <v>60</v>
      </c>
      <c r="K120" s="33">
        <v>6.3</v>
      </c>
      <c r="L120" s="33">
        <f>M120-K120</f>
        <v>0</v>
      </c>
      <c r="M120" s="33">
        <v>6.3</v>
      </c>
    </row>
    <row r="121" spans="1:13" s="152" customFormat="1" ht="36" x14ac:dyDescent="0.35">
      <c r="A121" s="18"/>
      <c r="B121" s="472" t="s">
        <v>773</v>
      </c>
      <c r="C121" s="32" t="s">
        <v>2</v>
      </c>
      <c r="D121" s="17" t="s">
        <v>65</v>
      </c>
      <c r="E121" s="17" t="s">
        <v>90</v>
      </c>
      <c r="F121" s="659" t="s">
        <v>83</v>
      </c>
      <c r="G121" s="660" t="s">
        <v>32</v>
      </c>
      <c r="H121" s="660" t="s">
        <v>41</v>
      </c>
      <c r="I121" s="661" t="s">
        <v>46</v>
      </c>
      <c r="J121" s="17"/>
      <c r="K121" s="33"/>
      <c r="L121" s="33">
        <f>L122</f>
        <v>296.5</v>
      </c>
      <c r="M121" s="33">
        <f>M122</f>
        <v>296.5</v>
      </c>
    </row>
    <row r="122" spans="1:13" s="152" customFormat="1" ht="54" x14ac:dyDescent="0.35">
      <c r="A122" s="18"/>
      <c r="B122" s="472" t="s">
        <v>87</v>
      </c>
      <c r="C122" s="32" t="s">
        <v>2</v>
      </c>
      <c r="D122" s="17" t="s">
        <v>65</v>
      </c>
      <c r="E122" s="17" t="s">
        <v>90</v>
      </c>
      <c r="F122" s="659" t="s">
        <v>83</v>
      </c>
      <c r="G122" s="660" t="s">
        <v>32</v>
      </c>
      <c r="H122" s="660" t="s">
        <v>41</v>
      </c>
      <c r="I122" s="661" t="s">
        <v>88</v>
      </c>
      <c r="J122" s="17"/>
      <c r="K122" s="33"/>
      <c r="L122" s="33">
        <f>L123</f>
        <v>296.5</v>
      </c>
      <c r="M122" s="33">
        <f>M123</f>
        <v>296.5</v>
      </c>
    </row>
    <row r="123" spans="1:13" s="152" customFormat="1" ht="54" x14ac:dyDescent="0.35">
      <c r="A123" s="18"/>
      <c r="B123" s="31" t="s">
        <v>57</v>
      </c>
      <c r="C123" s="32" t="s">
        <v>2</v>
      </c>
      <c r="D123" s="17" t="s">
        <v>65</v>
      </c>
      <c r="E123" s="17" t="s">
        <v>90</v>
      </c>
      <c r="F123" s="659" t="s">
        <v>83</v>
      </c>
      <c r="G123" s="660" t="s">
        <v>32</v>
      </c>
      <c r="H123" s="660" t="s">
        <v>41</v>
      </c>
      <c r="I123" s="661" t="s">
        <v>88</v>
      </c>
      <c r="J123" s="17" t="s">
        <v>58</v>
      </c>
      <c r="K123" s="33"/>
      <c r="L123" s="33">
        <f>M123-K123</f>
        <v>296.5</v>
      </c>
      <c r="M123" s="33">
        <v>296.5</v>
      </c>
    </row>
    <row r="124" spans="1:13" s="152" customFormat="1" ht="53.25" customHeight="1" x14ac:dyDescent="0.35">
      <c r="A124" s="18"/>
      <c r="B124" s="316" t="s">
        <v>579</v>
      </c>
      <c r="C124" s="32" t="s">
        <v>2</v>
      </c>
      <c r="D124" s="17" t="s">
        <v>65</v>
      </c>
      <c r="E124" s="17" t="s">
        <v>90</v>
      </c>
      <c r="F124" s="659" t="s">
        <v>83</v>
      </c>
      <c r="G124" s="660" t="s">
        <v>33</v>
      </c>
      <c r="H124" s="660" t="s">
        <v>45</v>
      </c>
      <c r="I124" s="661" t="s">
        <v>46</v>
      </c>
      <c r="J124" s="17"/>
      <c r="K124" s="33">
        <f t="shared" ref="K124:M126" si="21">K125</f>
        <v>21.8</v>
      </c>
      <c r="L124" s="33">
        <f t="shared" si="21"/>
        <v>0</v>
      </c>
      <c r="M124" s="33">
        <f t="shared" si="21"/>
        <v>21.8</v>
      </c>
    </row>
    <row r="125" spans="1:13" s="152" customFormat="1" ht="72" customHeight="1" x14ac:dyDescent="0.35">
      <c r="A125" s="18"/>
      <c r="B125" s="317" t="s">
        <v>580</v>
      </c>
      <c r="C125" s="32" t="s">
        <v>2</v>
      </c>
      <c r="D125" s="17" t="s">
        <v>65</v>
      </c>
      <c r="E125" s="17" t="s">
        <v>90</v>
      </c>
      <c r="F125" s="659" t="s">
        <v>83</v>
      </c>
      <c r="G125" s="660" t="s">
        <v>33</v>
      </c>
      <c r="H125" s="660" t="s">
        <v>39</v>
      </c>
      <c r="I125" s="661" t="s">
        <v>46</v>
      </c>
      <c r="J125" s="17"/>
      <c r="K125" s="33">
        <f t="shared" si="21"/>
        <v>21.8</v>
      </c>
      <c r="L125" s="33">
        <f t="shared" si="21"/>
        <v>0</v>
      </c>
      <c r="M125" s="33">
        <f t="shared" si="21"/>
        <v>21.8</v>
      </c>
    </row>
    <row r="126" spans="1:13" s="152" customFormat="1" ht="53.25" customHeight="1" x14ac:dyDescent="0.35">
      <c r="A126" s="18"/>
      <c r="B126" s="314" t="s">
        <v>87</v>
      </c>
      <c r="C126" s="32" t="s">
        <v>2</v>
      </c>
      <c r="D126" s="17" t="s">
        <v>65</v>
      </c>
      <c r="E126" s="17" t="s">
        <v>90</v>
      </c>
      <c r="F126" s="659" t="s">
        <v>83</v>
      </c>
      <c r="G126" s="660" t="s">
        <v>33</v>
      </c>
      <c r="H126" s="660" t="s">
        <v>39</v>
      </c>
      <c r="I126" s="661" t="s">
        <v>88</v>
      </c>
      <c r="J126" s="17"/>
      <c r="K126" s="33">
        <f t="shared" si="21"/>
        <v>21.8</v>
      </c>
      <c r="L126" s="33">
        <f t="shared" si="21"/>
        <v>0</v>
      </c>
      <c r="M126" s="33">
        <f t="shared" si="21"/>
        <v>21.8</v>
      </c>
    </row>
    <row r="127" spans="1:13" s="152" customFormat="1" ht="53.25" customHeight="1" x14ac:dyDescent="0.35">
      <c r="A127" s="18"/>
      <c r="B127" s="315" t="s">
        <v>57</v>
      </c>
      <c r="C127" s="32" t="s">
        <v>2</v>
      </c>
      <c r="D127" s="17" t="s">
        <v>65</v>
      </c>
      <c r="E127" s="17" t="s">
        <v>90</v>
      </c>
      <c r="F127" s="659" t="s">
        <v>83</v>
      </c>
      <c r="G127" s="660" t="s">
        <v>33</v>
      </c>
      <c r="H127" s="660" t="s">
        <v>39</v>
      </c>
      <c r="I127" s="661" t="s">
        <v>88</v>
      </c>
      <c r="J127" s="17" t="s">
        <v>58</v>
      </c>
      <c r="K127" s="33">
        <v>21.8</v>
      </c>
      <c r="L127" s="33">
        <f>M127-K127</f>
        <v>0</v>
      </c>
      <c r="M127" s="33">
        <v>21.8</v>
      </c>
    </row>
    <row r="128" spans="1:13" s="152" customFormat="1" ht="18.75" customHeight="1" x14ac:dyDescent="0.35">
      <c r="A128" s="18"/>
      <c r="B128" s="31" t="s">
        <v>94</v>
      </c>
      <c r="C128" s="32" t="s">
        <v>2</v>
      </c>
      <c r="D128" s="17" t="s">
        <v>54</v>
      </c>
      <c r="E128" s="17"/>
      <c r="F128" s="659"/>
      <c r="G128" s="660"/>
      <c r="H128" s="660"/>
      <c r="I128" s="661"/>
      <c r="J128" s="17"/>
      <c r="K128" s="33">
        <f>K129+K138+K144</f>
        <v>50353.599999999999</v>
      </c>
      <c r="L128" s="33">
        <f>L129+L138+L144</f>
        <v>21390.522000000001</v>
      </c>
      <c r="M128" s="33">
        <f>M129+M138+M144</f>
        <v>71744.122000000003</v>
      </c>
    </row>
    <row r="129" spans="1:13" s="14" customFormat="1" ht="18.75" customHeight="1" x14ac:dyDescent="0.35">
      <c r="A129" s="18"/>
      <c r="B129" s="31" t="s">
        <v>95</v>
      </c>
      <c r="C129" s="32" t="s">
        <v>2</v>
      </c>
      <c r="D129" s="17" t="s">
        <v>54</v>
      </c>
      <c r="E129" s="17" t="s">
        <v>67</v>
      </c>
      <c r="F129" s="659"/>
      <c r="G129" s="660"/>
      <c r="H129" s="660"/>
      <c r="I129" s="661"/>
      <c r="J129" s="17"/>
      <c r="K129" s="33">
        <f t="shared" ref="K129:M130" si="22">K130</f>
        <v>12646.2</v>
      </c>
      <c r="L129" s="33">
        <f t="shared" si="22"/>
        <v>10000.000000000002</v>
      </c>
      <c r="M129" s="33">
        <f t="shared" si="22"/>
        <v>22646.200000000004</v>
      </c>
    </row>
    <row r="130" spans="1:13" s="152" customFormat="1" ht="60" customHeight="1" x14ac:dyDescent="0.35">
      <c r="A130" s="18"/>
      <c r="B130" s="31" t="s">
        <v>96</v>
      </c>
      <c r="C130" s="32" t="s">
        <v>2</v>
      </c>
      <c r="D130" s="17" t="s">
        <v>54</v>
      </c>
      <c r="E130" s="17" t="s">
        <v>67</v>
      </c>
      <c r="F130" s="659" t="s">
        <v>69</v>
      </c>
      <c r="G130" s="660" t="s">
        <v>44</v>
      </c>
      <c r="H130" s="660" t="s">
        <v>45</v>
      </c>
      <c r="I130" s="661" t="s">
        <v>46</v>
      </c>
      <c r="J130" s="17"/>
      <c r="K130" s="33">
        <f t="shared" si="22"/>
        <v>12646.2</v>
      </c>
      <c r="L130" s="33">
        <f t="shared" si="22"/>
        <v>10000.000000000002</v>
      </c>
      <c r="M130" s="33">
        <f t="shared" si="22"/>
        <v>22646.200000000004</v>
      </c>
    </row>
    <row r="131" spans="1:13" s="14" customFormat="1" ht="37.5" customHeight="1" x14ac:dyDescent="0.35">
      <c r="A131" s="18"/>
      <c r="B131" s="31" t="s">
        <v>345</v>
      </c>
      <c r="C131" s="32" t="s">
        <v>2</v>
      </c>
      <c r="D131" s="17" t="s">
        <v>54</v>
      </c>
      <c r="E131" s="17" t="s">
        <v>67</v>
      </c>
      <c r="F131" s="659" t="s">
        <v>69</v>
      </c>
      <c r="G131" s="660" t="s">
        <v>47</v>
      </c>
      <c r="H131" s="660" t="s">
        <v>45</v>
      </c>
      <c r="I131" s="661" t="s">
        <v>46</v>
      </c>
      <c r="J131" s="17"/>
      <c r="K131" s="33">
        <f>K132+K135</f>
        <v>12646.2</v>
      </c>
      <c r="L131" s="33">
        <f>L132+L135</f>
        <v>10000.000000000002</v>
      </c>
      <c r="M131" s="33">
        <f>M132+M135</f>
        <v>22646.200000000004</v>
      </c>
    </row>
    <row r="132" spans="1:13" s="14" customFormat="1" ht="56.25" customHeight="1" x14ac:dyDescent="0.35">
      <c r="A132" s="18"/>
      <c r="B132" s="31" t="s">
        <v>97</v>
      </c>
      <c r="C132" s="32" t="s">
        <v>2</v>
      </c>
      <c r="D132" s="17" t="s">
        <v>54</v>
      </c>
      <c r="E132" s="17" t="s">
        <v>67</v>
      </c>
      <c r="F132" s="659" t="s">
        <v>69</v>
      </c>
      <c r="G132" s="660" t="s">
        <v>47</v>
      </c>
      <c r="H132" s="660" t="s">
        <v>39</v>
      </c>
      <c r="I132" s="661" t="s">
        <v>46</v>
      </c>
      <c r="J132" s="17"/>
      <c r="K132" s="33">
        <f t="shared" ref="K132:M132" si="23">K133</f>
        <v>11095.300000000001</v>
      </c>
      <c r="L132" s="33">
        <f t="shared" si="23"/>
        <v>10000.000000000002</v>
      </c>
      <c r="M132" s="33">
        <f t="shared" si="23"/>
        <v>21095.300000000003</v>
      </c>
    </row>
    <row r="133" spans="1:13" s="14" customFormat="1" ht="71.400000000000006" customHeight="1" x14ac:dyDescent="0.35">
      <c r="A133" s="18"/>
      <c r="B133" s="51" t="s">
        <v>472</v>
      </c>
      <c r="C133" s="32" t="s">
        <v>2</v>
      </c>
      <c r="D133" s="17" t="s">
        <v>54</v>
      </c>
      <c r="E133" s="17" t="s">
        <v>67</v>
      </c>
      <c r="F133" s="659" t="s">
        <v>69</v>
      </c>
      <c r="G133" s="660" t="s">
        <v>47</v>
      </c>
      <c r="H133" s="660" t="s">
        <v>39</v>
      </c>
      <c r="I133" s="661" t="s">
        <v>63</v>
      </c>
      <c r="J133" s="17"/>
      <c r="K133" s="33">
        <f>K134</f>
        <v>11095.300000000001</v>
      </c>
      <c r="L133" s="33">
        <f>L134</f>
        <v>10000.000000000002</v>
      </c>
      <c r="M133" s="33">
        <f>M134</f>
        <v>21095.300000000003</v>
      </c>
    </row>
    <row r="134" spans="1:13" s="152" customFormat="1" ht="18.75" customHeight="1" x14ac:dyDescent="0.35">
      <c r="A134" s="18"/>
      <c r="B134" s="31" t="s">
        <v>59</v>
      </c>
      <c r="C134" s="32" t="s">
        <v>2</v>
      </c>
      <c r="D134" s="17" t="s">
        <v>54</v>
      </c>
      <c r="E134" s="17" t="s">
        <v>67</v>
      </c>
      <c r="F134" s="659" t="s">
        <v>69</v>
      </c>
      <c r="G134" s="660" t="s">
        <v>47</v>
      </c>
      <c r="H134" s="660" t="s">
        <v>39</v>
      </c>
      <c r="I134" s="661" t="s">
        <v>63</v>
      </c>
      <c r="J134" s="17" t="s">
        <v>60</v>
      </c>
      <c r="K134" s="33">
        <f>11070.6+24.7</f>
        <v>11095.300000000001</v>
      </c>
      <c r="L134" s="33">
        <f>M134-K134</f>
        <v>10000.000000000002</v>
      </c>
      <c r="M134" s="33">
        <f>11070.6+24.7+10000</f>
        <v>21095.300000000003</v>
      </c>
    </row>
    <row r="135" spans="1:13" s="14" customFormat="1" ht="63.75" customHeight="1" x14ac:dyDescent="0.35">
      <c r="A135" s="18"/>
      <c r="B135" s="31" t="s">
        <v>98</v>
      </c>
      <c r="C135" s="32" t="s">
        <v>2</v>
      </c>
      <c r="D135" s="17" t="s">
        <v>54</v>
      </c>
      <c r="E135" s="17" t="s">
        <v>67</v>
      </c>
      <c r="F135" s="659" t="s">
        <v>69</v>
      </c>
      <c r="G135" s="660" t="s">
        <v>47</v>
      </c>
      <c r="H135" s="660" t="s">
        <v>41</v>
      </c>
      <c r="I135" s="661" t="s">
        <v>46</v>
      </c>
      <c r="J135" s="17"/>
      <c r="K135" s="33">
        <f>K136</f>
        <v>1550.9</v>
      </c>
      <c r="L135" s="33">
        <f>L136</f>
        <v>0</v>
      </c>
      <c r="M135" s="33">
        <f>M136</f>
        <v>1550.9</v>
      </c>
    </row>
    <row r="136" spans="1:13" s="14" customFormat="1" ht="180" x14ac:dyDescent="0.35">
      <c r="A136" s="18"/>
      <c r="B136" s="31" t="s">
        <v>690</v>
      </c>
      <c r="C136" s="32" t="s">
        <v>2</v>
      </c>
      <c r="D136" s="17" t="s">
        <v>54</v>
      </c>
      <c r="E136" s="17" t="s">
        <v>67</v>
      </c>
      <c r="F136" s="659" t="s">
        <v>69</v>
      </c>
      <c r="G136" s="660" t="s">
        <v>47</v>
      </c>
      <c r="H136" s="660" t="s">
        <v>41</v>
      </c>
      <c r="I136" s="661" t="s">
        <v>99</v>
      </c>
      <c r="J136" s="17"/>
      <c r="K136" s="33">
        <f t="shared" ref="K136:M136" si="24">K137</f>
        <v>1550.9</v>
      </c>
      <c r="L136" s="33">
        <f t="shared" si="24"/>
        <v>0</v>
      </c>
      <c r="M136" s="33">
        <f t="shared" si="24"/>
        <v>1550.9</v>
      </c>
    </row>
    <row r="137" spans="1:13" s="152" customFormat="1" ht="56.25" customHeight="1" x14ac:dyDescent="0.35">
      <c r="A137" s="18"/>
      <c r="B137" s="31" t="s">
        <v>57</v>
      </c>
      <c r="C137" s="32" t="s">
        <v>2</v>
      </c>
      <c r="D137" s="17" t="s">
        <v>54</v>
      </c>
      <c r="E137" s="17" t="s">
        <v>67</v>
      </c>
      <c r="F137" s="659" t="s">
        <v>69</v>
      </c>
      <c r="G137" s="660" t="s">
        <v>47</v>
      </c>
      <c r="H137" s="660" t="s">
        <v>41</v>
      </c>
      <c r="I137" s="661" t="s">
        <v>99</v>
      </c>
      <c r="J137" s="17" t="s">
        <v>58</v>
      </c>
      <c r="K137" s="33">
        <v>1550.9</v>
      </c>
      <c r="L137" s="33">
        <f>M137-K137</f>
        <v>0</v>
      </c>
      <c r="M137" s="33">
        <v>1550.9</v>
      </c>
    </row>
    <row r="138" spans="1:13" s="14" customFormat="1" ht="18.75" customHeight="1" x14ac:dyDescent="0.35">
      <c r="A138" s="18"/>
      <c r="B138" s="36" t="s">
        <v>100</v>
      </c>
      <c r="C138" s="32" t="s">
        <v>2</v>
      </c>
      <c r="D138" s="17" t="s">
        <v>54</v>
      </c>
      <c r="E138" s="17" t="s">
        <v>81</v>
      </c>
      <c r="F138" s="659"/>
      <c r="G138" s="660"/>
      <c r="H138" s="660"/>
      <c r="I138" s="661"/>
      <c r="J138" s="17"/>
      <c r="K138" s="33">
        <f t="shared" ref="K138:M142" si="25">K139</f>
        <v>6255.7</v>
      </c>
      <c r="L138" s="33">
        <f t="shared" si="25"/>
        <v>3364.2220000000007</v>
      </c>
      <c r="M138" s="33">
        <f t="shared" si="25"/>
        <v>9619.9220000000005</v>
      </c>
    </row>
    <row r="139" spans="1:13" s="152" customFormat="1" ht="56.25" customHeight="1" x14ac:dyDescent="0.35">
      <c r="A139" s="18"/>
      <c r="B139" s="31" t="s">
        <v>101</v>
      </c>
      <c r="C139" s="32" t="s">
        <v>2</v>
      </c>
      <c r="D139" s="17" t="s">
        <v>54</v>
      </c>
      <c r="E139" s="17" t="s">
        <v>81</v>
      </c>
      <c r="F139" s="659" t="s">
        <v>102</v>
      </c>
      <c r="G139" s="660" t="s">
        <v>44</v>
      </c>
      <c r="H139" s="660" t="s">
        <v>45</v>
      </c>
      <c r="I139" s="661" t="s">
        <v>46</v>
      </c>
      <c r="J139" s="17"/>
      <c r="K139" s="33">
        <f t="shared" si="25"/>
        <v>6255.7</v>
      </c>
      <c r="L139" s="33">
        <f t="shared" si="25"/>
        <v>3364.2220000000007</v>
      </c>
      <c r="M139" s="33">
        <f t="shared" si="25"/>
        <v>9619.9220000000005</v>
      </c>
    </row>
    <row r="140" spans="1:13" s="14" customFormat="1" ht="37.5" customHeight="1" x14ac:dyDescent="0.35">
      <c r="A140" s="18"/>
      <c r="B140" s="31" t="s">
        <v>345</v>
      </c>
      <c r="C140" s="32" t="s">
        <v>2</v>
      </c>
      <c r="D140" s="17" t="s">
        <v>54</v>
      </c>
      <c r="E140" s="17" t="s">
        <v>81</v>
      </c>
      <c r="F140" s="659" t="s">
        <v>102</v>
      </c>
      <c r="G140" s="660" t="s">
        <v>47</v>
      </c>
      <c r="H140" s="660" t="s">
        <v>45</v>
      </c>
      <c r="I140" s="661" t="s">
        <v>46</v>
      </c>
      <c r="J140" s="17"/>
      <c r="K140" s="33">
        <f t="shared" si="25"/>
        <v>6255.7</v>
      </c>
      <c r="L140" s="33">
        <f t="shared" si="25"/>
        <v>3364.2220000000007</v>
      </c>
      <c r="M140" s="33">
        <f t="shared" si="25"/>
        <v>9619.9220000000005</v>
      </c>
    </row>
    <row r="141" spans="1:13" s="14" customFormat="1" ht="93.75" customHeight="1" x14ac:dyDescent="0.35">
      <c r="A141" s="18"/>
      <c r="B141" s="31" t="s">
        <v>103</v>
      </c>
      <c r="C141" s="32" t="s">
        <v>2</v>
      </c>
      <c r="D141" s="17" t="s">
        <v>54</v>
      </c>
      <c r="E141" s="17" t="s">
        <v>81</v>
      </c>
      <c r="F141" s="659" t="s">
        <v>102</v>
      </c>
      <c r="G141" s="660" t="s">
        <v>47</v>
      </c>
      <c r="H141" s="660" t="s">
        <v>39</v>
      </c>
      <c r="I141" s="661" t="s">
        <v>46</v>
      </c>
      <c r="J141" s="17"/>
      <c r="K141" s="33">
        <f t="shared" si="25"/>
        <v>6255.7</v>
      </c>
      <c r="L141" s="33">
        <f t="shared" si="25"/>
        <v>3364.2220000000007</v>
      </c>
      <c r="M141" s="33">
        <f t="shared" si="25"/>
        <v>9619.9220000000005</v>
      </c>
    </row>
    <row r="142" spans="1:13" s="14" customFormat="1" ht="75.75" customHeight="1" x14ac:dyDescent="0.35">
      <c r="A142" s="18"/>
      <c r="B142" s="37" t="s">
        <v>104</v>
      </c>
      <c r="C142" s="32" t="s">
        <v>2</v>
      </c>
      <c r="D142" s="17" t="s">
        <v>54</v>
      </c>
      <c r="E142" s="17" t="s">
        <v>81</v>
      </c>
      <c r="F142" s="659" t="s">
        <v>102</v>
      </c>
      <c r="G142" s="660" t="s">
        <v>47</v>
      </c>
      <c r="H142" s="660" t="s">
        <v>39</v>
      </c>
      <c r="I142" s="661" t="s">
        <v>105</v>
      </c>
      <c r="J142" s="17"/>
      <c r="K142" s="33">
        <f t="shared" si="25"/>
        <v>6255.7</v>
      </c>
      <c r="L142" s="33">
        <f t="shared" si="25"/>
        <v>3364.2220000000007</v>
      </c>
      <c r="M142" s="33">
        <f t="shared" si="25"/>
        <v>9619.9220000000005</v>
      </c>
    </row>
    <row r="143" spans="1:13" s="152" customFormat="1" ht="56.25" customHeight="1" x14ac:dyDescent="0.35">
      <c r="A143" s="18"/>
      <c r="B143" s="31" t="s">
        <v>57</v>
      </c>
      <c r="C143" s="32" t="s">
        <v>2</v>
      </c>
      <c r="D143" s="17" t="s">
        <v>54</v>
      </c>
      <c r="E143" s="17" t="s">
        <v>81</v>
      </c>
      <c r="F143" s="659" t="s">
        <v>102</v>
      </c>
      <c r="G143" s="660" t="s">
        <v>47</v>
      </c>
      <c r="H143" s="660" t="s">
        <v>39</v>
      </c>
      <c r="I143" s="661" t="s">
        <v>105</v>
      </c>
      <c r="J143" s="17" t="s">
        <v>58</v>
      </c>
      <c r="K143" s="33">
        <v>6255.7</v>
      </c>
      <c r="L143" s="33">
        <f>M143-K143</f>
        <v>3364.2220000000007</v>
      </c>
      <c r="M143" s="33">
        <f>6255.7+3364.222</f>
        <v>9619.9220000000005</v>
      </c>
    </row>
    <row r="144" spans="1:13" s="14" customFormat="1" ht="37.5" customHeight="1" x14ac:dyDescent="0.35">
      <c r="A144" s="18"/>
      <c r="B144" s="36" t="s">
        <v>108</v>
      </c>
      <c r="C144" s="32" t="s">
        <v>2</v>
      </c>
      <c r="D144" s="17" t="s">
        <v>54</v>
      </c>
      <c r="E144" s="17" t="s">
        <v>102</v>
      </c>
      <c r="F144" s="659"/>
      <c r="G144" s="660"/>
      <c r="H144" s="660"/>
      <c r="I144" s="661"/>
      <c r="J144" s="17"/>
      <c r="K144" s="33">
        <f>K145+K154+K161</f>
        <v>31451.699999999997</v>
      </c>
      <c r="L144" s="33">
        <f>L145+L154+L161</f>
        <v>8026.2999999999993</v>
      </c>
      <c r="M144" s="33">
        <f>M145+M154+M161</f>
        <v>39478</v>
      </c>
    </row>
    <row r="145" spans="1:13" s="152" customFormat="1" ht="75" customHeight="1" x14ac:dyDescent="0.35">
      <c r="A145" s="18"/>
      <c r="B145" s="31" t="s">
        <v>109</v>
      </c>
      <c r="C145" s="32" t="s">
        <v>2</v>
      </c>
      <c r="D145" s="17" t="s">
        <v>54</v>
      </c>
      <c r="E145" s="17" t="s">
        <v>102</v>
      </c>
      <c r="F145" s="659" t="s">
        <v>73</v>
      </c>
      <c r="G145" s="660" t="s">
        <v>44</v>
      </c>
      <c r="H145" s="660" t="s">
        <v>45</v>
      </c>
      <c r="I145" s="661" t="s">
        <v>46</v>
      </c>
      <c r="J145" s="17"/>
      <c r="K145" s="33">
        <f>K146+K150</f>
        <v>1025.0999999999999</v>
      </c>
      <c r="L145" s="33">
        <f>L146+L150</f>
        <v>0</v>
      </c>
      <c r="M145" s="33">
        <f>M146+M150</f>
        <v>1025.0999999999999</v>
      </c>
    </row>
    <row r="146" spans="1:13" s="152" customFormat="1" ht="56.25" customHeight="1" x14ac:dyDescent="0.35">
      <c r="A146" s="18"/>
      <c r="B146" s="36" t="s">
        <v>110</v>
      </c>
      <c r="C146" s="32" t="s">
        <v>2</v>
      </c>
      <c r="D146" s="17" t="s">
        <v>54</v>
      </c>
      <c r="E146" s="17" t="s">
        <v>102</v>
      </c>
      <c r="F146" s="659" t="s">
        <v>73</v>
      </c>
      <c r="G146" s="660" t="s">
        <v>47</v>
      </c>
      <c r="H146" s="660" t="s">
        <v>45</v>
      </c>
      <c r="I146" s="661" t="s">
        <v>46</v>
      </c>
      <c r="J146" s="17"/>
      <c r="K146" s="33">
        <f t="shared" ref="K146:M147" si="26">K147</f>
        <v>310</v>
      </c>
      <c r="L146" s="33">
        <f t="shared" si="26"/>
        <v>0</v>
      </c>
      <c r="M146" s="33">
        <f t="shared" si="26"/>
        <v>310</v>
      </c>
    </row>
    <row r="147" spans="1:13" s="14" customFormat="1" ht="37.5" customHeight="1" x14ac:dyDescent="0.35">
      <c r="A147" s="18"/>
      <c r="B147" s="31" t="s">
        <v>111</v>
      </c>
      <c r="C147" s="32" t="s">
        <v>2</v>
      </c>
      <c r="D147" s="17" t="s">
        <v>54</v>
      </c>
      <c r="E147" s="17" t="s">
        <v>102</v>
      </c>
      <c r="F147" s="659" t="s">
        <v>73</v>
      </c>
      <c r="G147" s="660" t="s">
        <v>47</v>
      </c>
      <c r="H147" s="660" t="s">
        <v>39</v>
      </c>
      <c r="I147" s="661" t="s">
        <v>46</v>
      </c>
      <c r="J147" s="17"/>
      <c r="K147" s="33">
        <f t="shared" si="26"/>
        <v>310</v>
      </c>
      <c r="L147" s="33">
        <f t="shared" si="26"/>
        <v>0</v>
      </c>
      <c r="M147" s="33">
        <f t="shared" si="26"/>
        <v>310</v>
      </c>
    </row>
    <row r="148" spans="1:13" s="152" customFormat="1" ht="37.5" customHeight="1" x14ac:dyDescent="0.35">
      <c r="A148" s="18"/>
      <c r="B148" s="36" t="s">
        <v>112</v>
      </c>
      <c r="C148" s="32" t="s">
        <v>2</v>
      </c>
      <c r="D148" s="17" t="s">
        <v>54</v>
      </c>
      <c r="E148" s="17" t="s">
        <v>102</v>
      </c>
      <c r="F148" s="659" t="s">
        <v>73</v>
      </c>
      <c r="G148" s="660" t="s">
        <v>47</v>
      </c>
      <c r="H148" s="660" t="s">
        <v>39</v>
      </c>
      <c r="I148" s="661" t="s">
        <v>113</v>
      </c>
      <c r="J148" s="17"/>
      <c r="K148" s="33">
        <f>K149</f>
        <v>310</v>
      </c>
      <c r="L148" s="33">
        <f>L149</f>
        <v>0</v>
      </c>
      <c r="M148" s="33">
        <f>M149</f>
        <v>310</v>
      </c>
    </row>
    <row r="149" spans="1:13" s="14" customFormat="1" ht="56.25" customHeight="1" x14ac:dyDescent="0.35">
      <c r="A149" s="18"/>
      <c r="B149" s="31" t="s">
        <v>57</v>
      </c>
      <c r="C149" s="32" t="s">
        <v>2</v>
      </c>
      <c r="D149" s="17" t="s">
        <v>54</v>
      </c>
      <c r="E149" s="17" t="s">
        <v>102</v>
      </c>
      <c r="F149" s="659" t="s">
        <v>73</v>
      </c>
      <c r="G149" s="660" t="s">
        <v>47</v>
      </c>
      <c r="H149" s="660" t="s">
        <v>39</v>
      </c>
      <c r="I149" s="661" t="s">
        <v>113</v>
      </c>
      <c r="J149" s="17" t="s">
        <v>58</v>
      </c>
      <c r="K149" s="33">
        <v>310</v>
      </c>
      <c r="L149" s="33">
        <f>M149-K149</f>
        <v>0</v>
      </c>
      <c r="M149" s="33">
        <v>310</v>
      </c>
    </row>
    <row r="150" spans="1:13" s="152" customFormat="1" ht="37.5" customHeight="1" x14ac:dyDescent="0.35">
      <c r="A150" s="18"/>
      <c r="B150" s="36" t="s">
        <v>114</v>
      </c>
      <c r="C150" s="32" t="s">
        <v>2</v>
      </c>
      <c r="D150" s="17" t="s">
        <v>54</v>
      </c>
      <c r="E150" s="17" t="s">
        <v>102</v>
      </c>
      <c r="F150" s="659" t="s">
        <v>73</v>
      </c>
      <c r="G150" s="660" t="s">
        <v>91</v>
      </c>
      <c r="H150" s="660" t="s">
        <v>45</v>
      </c>
      <c r="I150" s="661" t="s">
        <v>46</v>
      </c>
      <c r="J150" s="17"/>
      <c r="K150" s="33">
        <f t="shared" ref="K150:M152" si="27">K151</f>
        <v>715.1</v>
      </c>
      <c r="L150" s="33">
        <f t="shared" si="27"/>
        <v>0</v>
      </c>
      <c r="M150" s="33">
        <f t="shared" si="27"/>
        <v>715.1</v>
      </c>
    </row>
    <row r="151" spans="1:13" s="14" customFormat="1" ht="56.25" customHeight="1" x14ac:dyDescent="0.35">
      <c r="A151" s="18"/>
      <c r="B151" s="36" t="s">
        <v>115</v>
      </c>
      <c r="C151" s="32" t="s">
        <v>2</v>
      </c>
      <c r="D151" s="17" t="s">
        <v>54</v>
      </c>
      <c r="E151" s="17" t="s">
        <v>102</v>
      </c>
      <c r="F151" s="659" t="s">
        <v>73</v>
      </c>
      <c r="G151" s="660" t="s">
        <v>91</v>
      </c>
      <c r="H151" s="660" t="s">
        <v>39</v>
      </c>
      <c r="I151" s="661" t="s">
        <v>46</v>
      </c>
      <c r="J151" s="17"/>
      <c r="K151" s="33">
        <f t="shared" si="27"/>
        <v>715.1</v>
      </c>
      <c r="L151" s="33">
        <f t="shared" si="27"/>
        <v>0</v>
      </c>
      <c r="M151" s="33">
        <f t="shared" si="27"/>
        <v>715.1</v>
      </c>
    </row>
    <row r="152" spans="1:13" s="152" customFormat="1" ht="79.5" customHeight="1" x14ac:dyDescent="0.35">
      <c r="A152" s="18"/>
      <c r="B152" s="36" t="s">
        <v>116</v>
      </c>
      <c r="C152" s="32" t="s">
        <v>2</v>
      </c>
      <c r="D152" s="17" t="s">
        <v>54</v>
      </c>
      <c r="E152" s="17" t="s">
        <v>102</v>
      </c>
      <c r="F152" s="659" t="s">
        <v>73</v>
      </c>
      <c r="G152" s="660" t="s">
        <v>91</v>
      </c>
      <c r="H152" s="660" t="s">
        <v>39</v>
      </c>
      <c r="I152" s="661" t="s">
        <v>117</v>
      </c>
      <c r="J152" s="17"/>
      <c r="K152" s="33">
        <f t="shared" si="27"/>
        <v>715.1</v>
      </c>
      <c r="L152" s="33">
        <f t="shared" si="27"/>
        <v>0</v>
      </c>
      <c r="M152" s="33">
        <f t="shared" si="27"/>
        <v>715.1</v>
      </c>
    </row>
    <row r="153" spans="1:13" s="14" customFormat="1" ht="56.25" customHeight="1" x14ac:dyDescent="0.35">
      <c r="A153" s="18"/>
      <c r="B153" s="31" t="s">
        <v>57</v>
      </c>
      <c r="C153" s="32" t="s">
        <v>2</v>
      </c>
      <c r="D153" s="17" t="s">
        <v>54</v>
      </c>
      <c r="E153" s="17" t="s">
        <v>102</v>
      </c>
      <c r="F153" s="659" t="s">
        <v>73</v>
      </c>
      <c r="G153" s="660" t="s">
        <v>91</v>
      </c>
      <c r="H153" s="660" t="s">
        <v>39</v>
      </c>
      <c r="I153" s="661" t="s">
        <v>117</v>
      </c>
      <c r="J153" s="17" t="s">
        <v>58</v>
      </c>
      <c r="K153" s="33">
        <v>715.1</v>
      </c>
      <c r="L153" s="33">
        <f>M153-K153</f>
        <v>0</v>
      </c>
      <c r="M153" s="33">
        <v>715.1</v>
      </c>
    </row>
    <row r="154" spans="1:13" s="152" customFormat="1" ht="75" customHeight="1" x14ac:dyDescent="0.35">
      <c r="A154" s="18"/>
      <c r="B154" s="31" t="s">
        <v>118</v>
      </c>
      <c r="C154" s="32" t="s">
        <v>2</v>
      </c>
      <c r="D154" s="17" t="s">
        <v>54</v>
      </c>
      <c r="E154" s="17" t="s">
        <v>102</v>
      </c>
      <c r="F154" s="659" t="s">
        <v>90</v>
      </c>
      <c r="G154" s="660" t="s">
        <v>44</v>
      </c>
      <c r="H154" s="660" t="s">
        <v>45</v>
      </c>
      <c r="I154" s="661" t="s">
        <v>46</v>
      </c>
      <c r="J154" s="17"/>
      <c r="K154" s="33">
        <f t="shared" ref="K154:M157" si="28">K155</f>
        <v>5731.2000000000007</v>
      </c>
      <c r="L154" s="33">
        <f t="shared" si="28"/>
        <v>43.299999999999955</v>
      </c>
      <c r="M154" s="33">
        <f t="shared" si="28"/>
        <v>5774.5000000000009</v>
      </c>
    </row>
    <row r="155" spans="1:13" s="152" customFormat="1" ht="37.5" customHeight="1" x14ac:dyDescent="0.35">
      <c r="A155" s="18"/>
      <c r="B155" s="31" t="s">
        <v>345</v>
      </c>
      <c r="C155" s="32" t="s">
        <v>2</v>
      </c>
      <c r="D155" s="17" t="s">
        <v>54</v>
      </c>
      <c r="E155" s="17" t="s">
        <v>102</v>
      </c>
      <c r="F155" s="659" t="s">
        <v>90</v>
      </c>
      <c r="G155" s="660" t="s">
        <v>47</v>
      </c>
      <c r="H155" s="660" t="s">
        <v>45</v>
      </c>
      <c r="I155" s="661" t="s">
        <v>46</v>
      </c>
      <c r="J155" s="17"/>
      <c r="K155" s="33">
        <f t="shared" si="28"/>
        <v>5731.2000000000007</v>
      </c>
      <c r="L155" s="33">
        <f t="shared" si="28"/>
        <v>43.299999999999955</v>
      </c>
      <c r="M155" s="33">
        <f t="shared" si="28"/>
        <v>5774.5000000000009</v>
      </c>
    </row>
    <row r="156" spans="1:13" s="14" customFormat="1" ht="75" customHeight="1" x14ac:dyDescent="0.35">
      <c r="A156" s="18"/>
      <c r="B156" s="36" t="s">
        <v>311</v>
      </c>
      <c r="C156" s="32" t="s">
        <v>2</v>
      </c>
      <c r="D156" s="17" t="s">
        <v>54</v>
      </c>
      <c r="E156" s="17" t="s">
        <v>102</v>
      </c>
      <c r="F156" s="659" t="s">
        <v>90</v>
      </c>
      <c r="G156" s="660" t="s">
        <v>47</v>
      </c>
      <c r="H156" s="660" t="s">
        <v>39</v>
      </c>
      <c r="I156" s="661" t="s">
        <v>46</v>
      </c>
      <c r="J156" s="17"/>
      <c r="K156" s="33">
        <f>K157+K159</f>
        <v>5731.2000000000007</v>
      </c>
      <c r="L156" s="33">
        <f>L157+L159</f>
        <v>43.299999999999955</v>
      </c>
      <c r="M156" s="33">
        <f>M157+M159</f>
        <v>5774.5000000000009</v>
      </c>
    </row>
    <row r="157" spans="1:13" s="152" customFormat="1" ht="56.25" customHeight="1" x14ac:dyDescent="0.35">
      <c r="A157" s="18"/>
      <c r="B157" s="36" t="s">
        <v>119</v>
      </c>
      <c r="C157" s="32" t="s">
        <v>2</v>
      </c>
      <c r="D157" s="17" t="s">
        <v>54</v>
      </c>
      <c r="E157" s="17" t="s">
        <v>102</v>
      </c>
      <c r="F157" s="659" t="s">
        <v>90</v>
      </c>
      <c r="G157" s="660" t="s">
        <v>47</v>
      </c>
      <c r="H157" s="660" t="s">
        <v>39</v>
      </c>
      <c r="I157" s="661" t="s">
        <v>120</v>
      </c>
      <c r="J157" s="17"/>
      <c r="K157" s="33">
        <f t="shared" si="28"/>
        <v>4952.2000000000007</v>
      </c>
      <c r="L157" s="33">
        <f t="shared" si="28"/>
        <v>0</v>
      </c>
      <c r="M157" s="33">
        <f t="shared" si="28"/>
        <v>4952.2000000000007</v>
      </c>
    </row>
    <row r="158" spans="1:13" s="14" customFormat="1" ht="56.25" customHeight="1" x14ac:dyDescent="0.35">
      <c r="A158" s="18"/>
      <c r="B158" s="31" t="s">
        <v>57</v>
      </c>
      <c r="C158" s="32" t="s">
        <v>2</v>
      </c>
      <c r="D158" s="17" t="s">
        <v>54</v>
      </c>
      <c r="E158" s="17" t="s">
        <v>102</v>
      </c>
      <c r="F158" s="659" t="s">
        <v>90</v>
      </c>
      <c r="G158" s="660" t="s">
        <v>47</v>
      </c>
      <c r="H158" s="660" t="s">
        <v>39</v>
      </c>
      <c r="I158" s="661" t="s">
        <v>120</v>
      </c>
      <c r="J158" s="17" t="s">
        <v>58</v>
      </c>
      <c r="K158" s="33">
        <f>4927.6+24.6</f>
        <v>4952.2000000000007</v>
      </c>
      <c r="L158" s="33">
        <f>M158-K158</f>
        <v>0</v>
      </c>
      <c r="M158" s="33">
        <f>4927.6+24.6</f>
        <v>4952.2000000000007</v>
      </c>
    </row>
    <row r="159" spans="1:13" s="14" customFormat="1" ht="90" x14ac:dyDescent="0.35">
      <c r="A159" s="18"/>
      <c r="B159" s="31" t="s">
        <v>691</v>
      </c>
      <c r="C159" s="32" t="s">
        <v>2</v>
      </c>
      <c r="D159" s="17" t="s">
        <v>54</v>
      </c>
      <c r="E159" s="17" t="s">
        <v>102</v>
      </c>
      <c r="F159" s="659" t="s">
        <v>90</v>
      </c>
      <c r="G159" s="660" t="s">
        <v>47</v>
      </c>
      <c r="H159" s="660" t="s">
        <v>39</v>
      </c>
      <c r="I159" s="661" t="s">
        <v>689</v>
      </c>
      <c r="J159" s="17"/>
      <c r="K159" s="33">
        <f t="shared" ref="K159:M159" si="29">K160</f>
        <v>779</v>
      </c>
      <c r="L159" s="33">
        <f t="shared" si="29"/>
        <v>43.299999999999955</v>
      </c>
      <c r="M159" s="33">
        <f t="shared" si="29"/>
        <v>822.3</v>
      </c>
    </row>
    <row r="160" spans="1:13" s="14" customFormat="1" ht="56.25" customHeight="1" x14ac:dyDescent="0.35">
      <c r="A160" s="18"/>
      <c r="B160" s="31" t="s">
        <v>57</v>
      </c>
      <c r="C160" s="32" t="s">
        <v>2</v>
      </c>
      <c r="D160" s="17" t="s">
        <v>54</v>
      </c>
      <c r="E160" s="17" t="s">
        <v>102</v>
      </c>
      <c r="F160" s="659" t="s">
        <v>90</v>
      </c>
      <c r="G160" s="660" t="s">
        <v>47</v>
      </c>
      <c r="H160" s="660" t="s">
        <v>39</v>
      </c>
      <c r="I160" s="661" t="s">
        <v>689</v>
      </c>
      <c r="J160" s="17" t="s">
        <v>58</v>
      </c>
      <c r="K160" s="33">
        <v>779</v>
      </c>
      <c r="L160" s="33">
        <f>M160-K160</f>
        <v>43.299999999999955</v>
      </c>
      <c r="M160" s="33">
        <f>779+43.3</f>
        <v>822.3</v>
      </c>
    </row>
    <row r="161" spans="1:13" s="14" customFormat="1" ht="57.75" customHeight="1" x14ac:dyDescent="0.35">
      <c r="A161" s="18"/>
      <c r="B161" s="31" t="s">
        <v>42</v>
      </c>
      <c r="C161" s="32" t="s">
        <v>2</v>
      </c>
      <c r="D161" s="17" t="s">
        <v>54</v>
      </c>
      <c r="E161" s="17" t="s">
        <v>102</v>
      </c>
      <c r="F161" s="659" t="s">
        <v>43</v>
      </c>
      <c r="G161" s="660" t="s">
        <v>44</v>
      </c>
      <c r="H161" s="660" t="s">
        <v>45</v>
      </c>
      <c r="I161" s="661" t="s">
        <v>46</v>
      </c>
      <c r="J161" s="17"/>
      <c r="K161" s="33">
        <f t="shared" ref="K161:M162" si="30">K162</f>
        <v>24695.399999999998</v>
      </c>
      <c r="L161" s="33">
        <f t="shared" si="30"/>
        <v>7982.9999999999991</v>
      </c>
      <c r="M161" s="33">
        <f t="shared" si="30"/>
        <v>32678.399999999998</v>
      </c>
    </row>
    <row r="162" spans="1:13" s="14" customFormat="1" ht="37.5" customHeight="1" x14ac:dyDescent="0.35">
      <c r="A162" s="18"/>
      <c r="B162" s="31" t="s">
        <v>345</v>
      </c>
      <c r="C162" s="32" t="s">
        <v>2</v>
      </c>
      <c r="D162" s="17" t="s">
        <v>54</v>
      </c>
      <c r="E162" s="17" t="s">
        <v>102</v>
      </c>
      <c r="F162" s="659" t="s">
        <v>43</v>
      </c>
      <c r="G162" s="660" t="s">
        <v>47</v>
      </c>
      <c r="H162" s="660" t="s">
        <v>45</v>
      </c>
      <c r="I162" s="661" t="s">
        <v>46</v>
      </c>
      <c r="J162" s="17"/>
      <c r="K162" s="33">
        <f t="shared" si="30"/>
        <v>24695.399999999998</v>
      </c>
      <c r="L162" s="33">
        <f t="shared" si="30"/>
        <v>7982.9999999999991</v>
      </c>
      <c r="M162" s="33">
        <f t="shared" si="30"/>
        <v>32678.399999999998</v>
      </c>
    </row>
    <row r="163" spans="1:13" s="14" customFormat="1" ht="56.25" customHeight="1" x14ac:dyDescent="0.35">
      <c r="A163" s="18"/>
      <c r="B163" s="31" t="s">
        <v>337</v>
      </c>
      <c r="C163" s="32" t="s">
        <v>2</v>
      </c>
      <c r="D163" s="17" t="s">
        <v>54</v>
      </c>
      <c r="E163" s="17" t="s">
        <v>102</v>
      </c>
      <c r="F163" s="659" t="s">
        <v>43</v>
      </c>
      <c r="G163" s="660" t="s">
        <v>47</v>
      </c>
      <c r="H163" s="660" t="s">
        <v>90</v>
      </c>
      <c r="I163" s="661" t="s">
        <v>46</v>
      </c>
      <c r="J163" s="17"/>
      <c r="K163" s="33">
        <f>K164+K169+K167</f>
        <v>24695.399999999998</v>
      </c>
      <c r="L163" s="33">
        <f>L164+L169+L167</f>
        <v>7982.9999999999991</v>
      </c>
      <c r="M163" s="33">
        <f>M164+M169+M167</f>
        <v>32678.399999999998</v>
      </c>
    </row>
    <row r="164" spans="1:13" s="14" customFormat="1" ht="36.75" customHeight="1" x14ac:dyDescent="0.35">
      <c r="A164" s="18"/>
      <c r="B164" s="34" t="s">
        <v>540</v>
      </c>
      <c r="C164" s="32" t="s">
        <v>2</v>
      </c>
      <c r="D164" s="17" t="s">
        <v>54</v>
      </c>
      <c r="E164" s="17" t="s">
        <v>102</v>
      </c>
      <c r="F164" s="659" t="s">
        <v>43</v>
      </c>
      <c r="G164" s="660" t="s">
        <v>47</v>
      </c>
      <c r="H164" s="660" t="s">
        <v>90</v>
      </c>
      <c r="I164" s="661" t="s">
        <v>93</v>
      </c>
      <c r="J164" s="17"/>
      <c r="K164" s="33">
        <f>K165+K166</f>
        <v>4732.0999999999995</v>
      </c>
      <c r="L164" s="33">
        <f>L165+L166</f>
        <v>0</v>
      </c>
      <c r="M164" s="33">
        <f>M165+M166</f>
        <v>4732.0999999999995</v>
      </c>
    </row>
    <row r="165" spans="1:13" s="14" customFormat="1" ht="112.5" customHeight="1" x14ac:dyDescent="0.35">
      <c r="A165" s="18"/>
      <c r="B165" s="31" t="s">
        <v>51</v>
      </c>
      <c r="C165" s="32" t="s">
        <v>2</v>
      </c>
      <c r="D165" s="17" t="s">
        <v>54</v>
      </c>
      <c r="E165" s="17" t="s">
        <v>102</v>
      </c>
      <c r="F165" s="659" t="s">
        <v>43</v>
      </c>
      <c r="G165" s="660" t="s">
        <v>47</v>
      </c>
      <c r="H165" s="660" t="s">
        <v>90</v>
      </c>
      <c r="I165" s="661" t="s">
        <v>93</v>
      </c>
      <c r="J165" s="17" t="s">
        <v>52</v>
      </c>
      <c r="K165" s="33">
        <f>5398+216.4-1027.6</f>
        <v>4586.7999999999993</v>
      </c>
      <c r="L165" s="33">
        <f>M165-K165</f>
        <v>0</v>
      </c>
      <c r="M165" s="33">
        <f>5398+216.4-1027.6</f>
        <v>4586.7999999999993</v>
      </c>
    </row>
    <row r="166" spans="1:13" s="14" customFormat="1" ht="56.25" customHeight="1" x14ac:dyDescent="0.35">
      <c r="A166" s="18"/>
      <c r="B166" s="31" t="s">
        <v>57</v>
      </c>
      <c r="C166" s="32" t="s">
        <v>2</v>
      </c>
      <c r="D166" s="17" t="s">
        <v>54</v>
      </c>
      <c r="E166" s="17" t="s">
        <v>102</v>
      </c>
      <c r="F166" s="659" t="s">
        <v>43</v>
      </c>
      <c r="G166" s="660" t="s">
        <v>47</v>
      </c>
      <c r="H166" s="660" t="s">
        <v>90</v>
      </c>
      <c r="I166" s="661" t="s">
        <v>93</v>
      </c>
      <c r="J166" s="17" t="s">
        <v>58</v>
      </c>
      <c r="K166" s="33">
        <v>145.30000000000001</v>
      </c>
      <c r="L166" s="33">
        <f>M166-K166</f>
        <v>0</v>
      </c>
      <c r="M166" s="33">
        <v>145.30000000000001</v>
      </c>
    </row>
    <row r="167" spans="1:13" s="14" customFormat="1" ht="54" x14ac:dyDescent="0.35">
      <c r="A167" s="18"/>
      <c r="B167" s="31" t="s">
        <v>747</v>
      </c>
      <c r="C167" s="32" t="s">
        <v>2</v>
      </c>
      <c r="D167" s="17" t="s">
        <v>54</v>
      </c>
      <c r="E167" s="17" t="s">
        <v>102</v>
      </c>
      <c r="F167" s="659" t="s">
        <v>43</v>
      </c>
      <c r="G167" s="660" t="s">
        <v>47</v>
      </c>
      <c r="H167" s="660" t="s">
        <v>90</v>
      </c>
      <c r="I167" s="661" t="s">
        <v>748</v>
      </c>
      <c r="J167" s="17"/>
      <c r="K167" s="33">
        <f>K168</f>
        <v>6607.3</v>
      </c>
      <c r="L167" s="33">
        <f>L168</f>
        <v>7982.9999999999991</v>
      </c>
      <c r="M167" s="33">
        <f>M168</f>
        <v>14590.3</v>
      </c>
    </row>
    <row r="168" spans="1:13" s="14" customFormat="1" ht="54" x14ac:dyDescent="0.35">
      <c r="A168" s="18"/>
      <c r="B168" s="31" t="s">
        <v>57</v>
      </c>
      <c r="C168" s="32" t="s">
        <v>2</v>
      </c>
      <c r="D168" s="17" t="s">
        <v>54</v>
      </c>
      <c r="E168" s="17" t="s">
        <v>102</v>
      </c>
      <c r="F168" s="659" t="s">
        <v>43</v>
      </c>
      <c r="G168" s="660" t="s">
        <v>47</v>
      </c>
      <c r="H168" s="660" t="s">
        <v>90</v>
      </c>
      <c r="I168" s="661" t="s">
        <v>748</v>
      </c>
      <c r="J168" s="17" t="s">
        <v>58</v>
      </c>
      <c r="K168" s="33">
        <v>6607.3</v>
      </c>
      <c r="L168" s="33">
        <f>M168-K168</f>
        <v>7982.9999999999991</v>
      </c>
      <c r="M168" s="33">
        <f>6607.3+7983</f>
        <v>14590.3</v>
      </c>
    </row>
    <row r="169" spans="1:13" s="14" customFormat="1" ht="56.25" customHeight="1" x14ac:dyDescent="0.35">
      <c r="A169" s="18"/>
      <c r="B169" s="31" t="s">
        <v>710</v>
      </c>
      <c r="C169" s="32" t="s">
        <v>2</v>
      </c>
      <c r="D169" s="17" t="s">
        <v>54</v>
      </c>
      <c r="E169" s="17" t="s">
        <v>102</v>
      </c>
      <c r="F169" s="659" t="s">
        <v>43</v>
      </c>
      <c r="G169" s="660" t="s">
        <v>47</v>
      </c>
      <c r="H169" s="660" t="s">
        <v>90</v>
      </c>
      <c r="I169" s="661" t="s">
        <v>709</v>
      </c>
      <c r="J169" s="17"/>
      <c r="K169" s="33">
        <f>K170</f>
        <v>13356</v>
      </c>
      <c r="L169" s="33">
        <f>L170</f>
        <v>0</v>
      </c>
      <c r="M169" s="33">
        <f>M170</f>
        <v>13356</v>
      </c>
    </row>
    <row r="170" spans="1:13" s="14" customFormat="1" ht="56.25" customHeight="1" x14ac:dyDescent="0.35">
      <c r="A170" s="18"/>
      <c r="B170" s="31" t="s">
        <v>57</v>
      </c>
      <c r="C170" s="32" t="s">
        <v>2</v>
      </c>
      <c r="D170" s="17" t="s">
        <v>54</v>
      </c>
      <c r="E170" s="17" t="s">
        <v>102</v>
      </c>
      <c r="F170" s="659" t="s">
        <v>43</v>
      </c>
      <c r="G170" s="660" t="s">
        <v>47</v>
      </c>
      <c r="H170" s="660" t="s">
        <v>90</v>
      </c>
      <c r="I170" s="661" t="s">
        <v>709</v>
      </c>
      <c r="J170" s="17" t="s">
        <v>58</v>
      </c>
      <c r="K170" s="33">
        <f>400.7+12955.3</f>
        <v>13356</v>
      </c>
      <c r="L170" s="33">
        <f>M170-K170</f>
        <v>0</v>
      </c>
      <c r="M170" s="33">
        <f>400.7+12955.3</f>
        <v>13356</v>
      </c>
    </row>
    <row r="171" spans="1:13" s="14" customFormat="1" ht="18.75" customHeight="1" x14ac:dyDescent="0.35">
      <c r="A171" s="18"/>
      <c r="B171" s="31" t="s">
        <v>179</v>
      </c>
      <c r="C171" s="32" t="s">
        <v>2</v>
      </c>
      <c r="D171" s="17" t="s">
        <v>67</v>
      </c>
      <c r="E171" s="17"/>
      <c r="F171" s="659"/>
      <c r="G171" s="660"/>
      <c r="H171" s="660"/>
      <c r="I171" s="661"/>
      <c r="J171" s="17"/>
      <c r="K171" s="342">
        <f>K172+K182</f>
        <v>46753.399999999994</v>
      </c>
      <c r="L171" s="342">
        <f>L172+L182</f>
        <v>0</v>
      </c>
      <c r="M171" s="342">
        <f>M172+M182</f>
        <v>46753.399999999994</v>
      </c>
    </row>
    <row r="172" spans="1:13" s="14" customFormat="1" ht="18" x14ac:dyDescent="0.35">
      <c r="A172" s="18"/>
      <c r="B172" s="31" t="s">
        <v>562</v>
      </c>
      <c r="C172" s="32" t="s">
        <v>2</v>
      </c>
      <c r="D172" s="17" t="s">
        <v>67</v>
      </c>
      <c r="E172" s="17" t="s">
        <v>39</v>
      </c>
      <c r="F172" s="659"/>
      <c r="G172" s="660"/>
      <c r="H172" s="660"/>
      <c r="I172" s="661"/>
      <c r="J172" s="17"/>
      <c r="K172" s="342">
        <f>K173</f>
        <v>43419.7</v>
      </c>
      <c r="L172" s="342">
        <f>L173</f>
        <v>0</v>
      </c>
      <c r="M172" s="342">
        <f>M173</f>
        <v>43419.7</v>
      </c>
    </row>
    <row r="173" spans="1:13" s="14" customFormat="1" ht="72" x14ac:dyDescent="0.35">
      <c r="A173" s="18"/>
      <c r="B173" s="450" t="s">
        <v>338</v>
      </c>
      <c r="C173" s="32" t="s">
        <v>2</v>
      </c>
      <c r="D173" s="17" t="s">
        <v>67</v>
      </c>
      <c r="E173" s="17" t="s">
        <v>39</v>
      </c>
      <c r="F173" s="659" t="s">
        <v>106</v>
      </c>
      <c r="G173" s="660" t="s">
        <v>44</v>
      </c>
      <c r="H173" s="660" t="s">
        <v>45</v>
      </c>
      <c r="I173" s="661" t="s">
        <v>46</v>
      </c>
      <c r="J173" s="17"/>
      <c r="K173" s="33">
        <f>K175</f>
        <v>43419.7</v>
      </c>
      <c r="L173" s="33">
        <f>L175</f>
        <v>0</v>
      </c>
      <c r="M173" s="33">
        <f>M175</f>
        <v>43419.7</v>
      </c>
    </row>
    <row r="174" spans="1:13" s="14" customFormat="1" ht="36" x14ac:dyDescent="0.35">
      <c r="A174" s="18"/>
      <c r="B174" s="449" t="s">
        <v>568</v>
      </c>
      <c r="C174" s="32" t="s">
        <v>2</v>
      </c>
      <c r="D174" s="17" t="s">
        <v>67</v>
      </c>
      <c r="E174" s="17" t="s">
        <v>39</v>
      </c>
      <c r="F174" s="659" t="s">
        <v>106</v>
      </c>
      <c r="G174" s="660" t="s">
        <v>569</v>
      </c>
      <c r="H174" s="660" t="s">
        <v>45</v>
      </c>
      <c r="I174" s="661" t="s">
        <v>46</v>
      </c>
      <c r="J174" s="17"/>
      <c r="K174" s="33">
        <f>K175</f>
        <v>43419.7</v>
      </c>
      <c r="L174" s="33">
        <f>L175</f>
        <v>0</v>
      </c>
      <c r="M174" s="33">
        <f>M175</f>
        <v>43419.7</v>
      </c>
    </row>
    <row r="175" spans="1:13" s="14" customFormat="1" ht="54" x14ac:dyDescent="0.35">
      <c r="A175" s="18"/>
      <c r="B175" s="31" t="s">
        <v>560</v>
      </c>
      <c r="C175" s="32" t="s">
        <v>2</v>
      </c>
      <c r="D175" s="17" t="s">
        <v>67</v>
      </c>
      <c r="E175" s="17" t="s">
        <v>39</v>
      </c>
      <c r="F175" s="659" t="s">
        <v>106</v>
      </c>
      <c r="G175" s="660" t="s">
        <v>569</v>
      </c>
      <c r="H175" s="660" t="s">
        <v>557</v>
      </c>
      <c r="I175" s="661" t="s">
        <v>46</v>
      </c>
      <c r="J175" s="17"/>
      <c r="K175" s="33">
        <f>K176+K178+K180</f>
        <v>43419.7</v>
      </c>
      <c r="L175" s="33">
        <f>L176+L178+L180</f>
        <v>0</v>
      </c>
      <c r="M175" s="33">
        <f>M176+M178+M180</f>
        <v>43419.7</v>
      </c>
    </row>
    <row r="176" spans="1:13" s="14" customFormat="1" ht="108" x14ac:dyDescent="0.35">
      <c r="A176" s="18"/>
      <c r="B176" s="31" t="s">
        <v>561</v>
      </c>
      <c r="C176" s="32" t="s">
        <v>2</v>
      </c>
      <c r="D176" s="17" t="s">
        <v>67</v>
      </c>
      <c r="E176" s="17" t="s">
        <v>39</v>
      </c>
      <c r="F176" s="659" t="s">
        <v>106</v>
      </c>
      <c r="G176" s="660" t="s">
        <v>569</v>
      </c>
      <c r="H176" s="660" t="s">
        <v>557</v>
      </c>
      <c r="I176" s="661" t="s">
        <v>558</v>
      </c>
      <c r="J176" s="17"/>
      <c r="K176" s="33">
        <f>K177</f>
        <v>21532.7</v>
      </c>
      <c r="L176" s="33">
        <f>L177</f>
        <v>0</v>
      </c>
      <c r="M176" s="33">
        <f>M177</f>
        <v>21532.7</v>
      </c>
    </row>
    <row r="177" spans="1:13" s="14" customFormat="1" ht="54" x14ac:dyDescent="0.35">
      <c r="A177" s="18"/>
      <c r="B177" s="31" t="s">
        <v>205</v>
      </c>
      <c r="C177" s="32" t="s">
        <v>2</v>
      </c>
      <c r="D177" s="17" t="s">
        <v>67</v>
      </c>
      <c r="E177" s="17" t="s">
        <v>39</v>
      </c>
      <c r="F177" s="659" t="s">
        <v>106</v>
      </c>
      <c r="G177" s="660" t="s">
        <v>569</v>
      </c>
      <c r="H177" s="660" t="s">
        <v>557</v>
      </c>
      <c r="I177" s="661" t="s">
        <v>558</v>
      </c>
      <c r="J177" s="17" t="s">
        <v>206</v>
      </c>
      <c r="K177" s="33">
        <v>21532.7</v>
      </c>
      <c r="L177" s="33">
        <f>M177-K177</f>
        <v>0</v>
      </c>
      <c r="M177" s="33">
        <v>21532.7</v>
      </c>
    </row>
    <row r="178" spans="1:13" s="14" customFormat="1" ht="108" x14ac:dyDescent="0.35">
      <c r="A178" s="18"/>
      <c r="B178" s="31" t="s">
        <v>561</v>
      </c>
      <c r="C178" s="32" t="s">
        <v>2</v>
      </c>
      <c r="D178" s="17" t="s">
        <v>67</v>
      </c>
      <c r="E178" s="17" t="s">
        <v>39</v>
      </c>
      <c r="F178" s="659" t="s">
        <v>106</v>
      </c>
      <c r="G178" s="660" t="s">
        <v>569</v>
      </c>
      <c r="H178" s="660" t="s">
        <v>557</v>
      </c>
      <c r="I178" s="661" t="s">
        <v>559</v>
      </c>
      <c r="J178" s="17"/>
      <c r="K178" s="33">
        <f>K179</f>
        <v>15225.8</v>
      </c>
      <c r="L178" s="33">
        <f>L179</f>
        <v>0</v>
      </c>
      <c r="M178" s="33">
        <f>M179</f>
        <v>15225.8</v>
      </c>
    </row>
    <row r="179" spans="1:13" s="14" customFormat="1" ht="54" x14ac:dyDescent="0.35">
      <c r="A179" s="18"/>
      <c r="B179" s="282" t="s">
        <v>205</v>
      </c>
      <c r="C179" s="32" t="s">
        <v>2</v>
      </c>
      <c r="D179" s="17" t="s">
        <v>67</v>
      </c>
      <c r="E179" s="17" t="s">
        <v>39</v>
      </c>
      <c r="F179" s="659" t="s">
        <v>106</v>
      </c>
      <c r="G179" s="660" t="s">
        <v>569</v>
      </c>
      <c r="H179" s="660" t="s">
        <v>557</v>
      </c>
      <c r="I179" s="661" t="s">
        <v>559</v>
      </c>
      <c r="J179" s="17" t="s">
        <v>206</v>
      </c>
      <c r="K179" s="33">
        <v>15225.8</v>
      </c>
      <c r="L179" s="33">
        <f>M179-K179</f>
        <v>0</v>
      </c>
      <c r="M179" s="33">
        <v>15225.8</v>
      </c>
    </row>
    <row r="180" spans="1:13" s="14" customFormat="1" ht="108" x14ac:dyDescent="0.35">
      <c r="A180" s="18"/>
      <c r="B180" s="31" t="s">
        <v>561</v>
      </c>
      <c r="C180" s="32" t="s">
        <v>2</v>
      </c>
      <c r="D180" s="17" t="s">
        <v>67</v>
      </c>
      <c r="E180" s="17" t="s">
        <v>39</v>
      </c>
      <c r="F180" s="659" t="s">
        <v>106</v>
      </c>
      <c r="G180" s="660" t="s">
        <v>569</v>
      </c>
      <c r="H180" s="660" t="s">
        <v>557</v>
      </c>
      <c r="I180" s="661" t="s">
        <v>680</v>
      </c>
      <c r="J180" s="17"/>
      <c r="K180" s="33">
        <f>K181</f>
        <v>6661.2000000000007</v>
      </c>
      <c r="L180" s="33">
        <f>L181</f>
        <v>0</v>
      </c>
      <c r="M180" s="33">
        <f>M181</f>
        <v>6661.2000000000007</v>
      </c>
    </row>
    <row r="181" spans="1:13" s="14" customFormat="1" ht="54" x14ac:dyDescent="0.35">
      <c r="A181" s="18"/>
      <c r="B181" s="31" t="s">
        <v>205</v>
      </c>
      <c r="C181" s="32" t="s">
        <v>2</v>
      </c>
      <c r="D181" s="17" t="s">
        <v>67</v>
      </c>
      <c r="E181" s="17" t="s">
        <v>39</v>
      </c>
      <c r="F181" s="659" t="s">
        <v>106</v>
      </c>
      <c r="G181" s="660" t="s">
        <v>569</v>
      </c>
      <c r="H181" s="660" t="s">
        <v>557</v>
      </c>
      <c r="I181" s="661" t="s">
        <v>680</v>
      </c>
      <c r="J181" s="17" t="s">
        <v>206</v>
      </c>
      <c r="K181" s="33">
        <f>1213.9+5447.3</f>
        <v>6661.2000000000007</v>
      </c>
      <c r="L181" s="33">
        <f>M181-K181</f>
        <v>0</v>
      </c>
      <c r="M181" s="33">
        <f>1213.9+5447.3</f>
        <v>6661.2000000000007</v>
      </c>
    </row>
    <row r="182" spans="1:13" s="14" customFormat="1" ht="18.75" customHeight="1" x14ac:dyDescent="0.35">
      <c r="A182" s="18"/>
      <c r="B182" s="31" t="s">
        <v>635</v>
      </c>
      <c r="C182" s="32" t="s">
        <v>2</v>
      </c>
      <c r="D182" s="17" t="s">
        <v>67</v>
      </c>
      <c r="E182" s="17" t="s">
        <v>65</v>
      </c>
      <c r="F182" s="659"/>
      <c r="G182" s="660"/>
      <c r="H182" s="660"/>
      <c r="I182" s="661"/>
      <c r="J182" s="17"/>
      <c r="K182" s="342">
        <f>K183</f>
        <v>3333.7</v>
      </c>
      <c r="L182" s="342">
        <f>L183</f>
        <v>0</v>
      </c>
      <c r="M182" s="342">
        <f>M183</f>
        <v>3333.7</v>
      </c>
    </row>
    <row r="183" spans="1:13" s="14" customFormat="1" ht="75" customHeight="1" x14ac:dyDescent="0.35">
      <c r="A183" s="18"/>
      <c r="B183" s="31" t="s">
        <v>636</v>
      </c>
      <c r="C183" s="32" t="s">
        <v>2</v>
      </c>
      <c r="D183" s="17" t="s">
        <v>67</v>
      </c>
      <c r="E183" s="17" t="s">
        <v>65</v>
      </c>
      <c r="F183" s="659" t="s">
        <v>106</v>
      </c>
      <c r="G183" s="660" t="s">
        <v>44</v>
      </c>
      <c r="H183" s="660" t="s">
        <v>45</v>
      </c>
      <c r="I183" s="661" t="s">
        <v>46</v>
      </c>
      <c r="J183" s="17"/>
      <c r="K183" s="342">
        <f>K184+K188</f>
        <v>3333.7</v>
      </c>
      <c r="L183" s="342">
        <f>L184+L188</f>
        <v>0</v>
      </c>
      <c r="M183" s="342">
        <f>M184+M188</f>
        <v>3333.7</v>
      </c>
    </row>
    <row r="184" spans="1:13" s="14" customFormat="1" ht="36" x14ac:dyDescent="0.35">
      <c r="A184" s="18"/>
      <c r="B184" s="448" t="s">
        <v>345</v>
      </c>
      <c r="C184" s="32" t="s">
        <v>2</v>
      </c>
      <c r="D184" s="17" t="s">
        <v>67</v>
      </c>
      <c r="E184" s="17" t="s">
        <v>65</v>
      </c>
      <c r="F184" s="659" t="s">
        <v>106</v>
      </c>
      <c r="G184" s="660" t="s">
        <v>32</v>
      </c>
      <c r="H184" s="660" t="s">
        <v>45</v>
      </c>
      <c r="I184" s="661" t="s">
        <v>46</v>
      </c>
      <c r="J184" s="17"/>
      <c r="K184" s="33">
        <f>K185</f>
        <v>2109.1999999999998</v>
      </c>
      <c r="L184" s="33">
        <f>L185</f>
        <v>0</v>
      </c>
      <c r="M184" s="33">
        <f>M185</f>
        <v>2109.1999999999998</v>
      </c>
    </row>
    <row r="185" spans="1:13" s="14" customFormat="1" ht="36" x14ac:dyDescent="0.35">
      <c r="A185" s="18"/>
      <c r="B185" s="372" t="s">
        <v>648</v>
      </c>
      <c r="C185" s="32" t="s">
        <v>2</v>
      </c>
      <c r="D185" s="17" t="s">
        <v>67</v>
      </c>
      <c r="E185" s="17" t="s">
        <v>65</v>
      </c>
      <c r="F185" s="659" t="s">
        <v>106</v>
      </c>
      <c r="G185" s="660" t="s">
        <v>32</v>
      </c>
      <c r="H185" s="660" t="s">
        <v>228</v>
      </c>
      <c r="I185" s="661" t="s">
        <v>46</v>
      </c>
      <c r="J185" s="17"/>
      <c r="K185" s="33">
        <f t="shared" ref="K185:M186" si="31">K186</f>
        <v>2109.1999999999998</v>
      </c>
      <c r="L185" s="33">
        <f t="shared" si="31"/>
        <v>0</v>
      </c>
      <c r="M185" s="33">
        <f t="shared" si="31"/>
        <v>2109.1999999999998</v>
      </c>
    </row>
    <row r="186" spans="1:13" s="14" customFormat="1" ht="18" x14ac:dyDescent="0.35">
      <c r="A186" s="18"/>
      <c r="B186" s="372" t="s">
        <v>649</v>
      </c>
      <c r="C186" s="32" t="s">
        <v>2</v>
      </c>
      <c r="D186" s="17" t="s">
        <v>67</v>
      </c>
      <c r="E186" s="17" t="s">
        <v>65</v>
      </c>
      <c r="F186" s="659" t="s">
        <v>106</v>
      </c>
      <c r="G186" s="660" t="s">
        <v>32</v>
      </c>
      <c r="H186" s="660" t="s">
        <v>228</v>
      </c>
      <c r="I186" s="661" t="s">
        <v>647</v>
      </c>
      <c r="J186" s="17"/>
      <c r="K186" s="33">
        <f t="shared" si="31"/>
        <v>2109.1999999999998</v>
      </c>
      <c r="L186" s="33">
        <f t="shared" si="31"/>
        <v>0</v>
      </c>
      <c r="M186" s="33">
        <f t="shared" si="31"/>
        <v>2109.1999999999998</v>
      </c>
    </row>
    <row r="187" spans="1:13" s="14" customFormat="1" ht="54" x14ac:dyDescent="0.35">
      <c r="A187" s="18"/>
      <c r="B187" s="372" t="s">
        <v>57</v>
      </c>
      <c r="C187" s="32" t="s">
        <v>2</v>
      </c>
      <c r="D187" s="17" t="s">
        <v>67</v>
      </c>
      <c r="E187" s="17" t="s">
        <v>65</v>
      </c>
      <c r="F187" s="659" t="s">
        <v>106</v>
      </c>
      <c r="G187" s="660" t="s">
        <v>32</v>
      </c>
      <c r="H187" s="660" t="s">
        <v>228</v>
      </c>
      <c r="I187" s="661" t="s">
        <v>647</v>
      </c>
      <c r="J187" s="17" t="s">
        <v>58</v>
      </c>
      <c r="K187" s="33">
        <v>2109.1999999999998</v>
      </c>
      <c r="L187" s="33">
        <f>M187-K187</f>
        <v>0</v>
      </c>
      <c r="M187" s="33">
        <v>2109.1999999999998</v>
      </c>
    </row>
    <row r="188" spans="1:13" s="14" customFormat="1" ht="56.25" customHeight="1" x14ac:dyDescent="0.35">
      <c r="A188" s="18"/>
      <c r="B188" s="31" t="s">
        <v>637</v>
      </c>
      <c r="C188" s="32" t="s">
        <v>2</v>
      </c>
      <c r="D188" s="17" t="s">
        <v>67</v>
      </c>
      <c r="E188" s="17" t="s">
        <v>65</v>
      </c>
      <c r="F188" s="659" t="s">
        <v>106</v>
      </c>
      <c r="G188" s="660" t="s">
        <v>36</v>
      </c>
      <c r="H188" s="660" t="s">
        <v>45</v>
      </c>
      <c r="I188" s="661" t="s">
        <v>46</v>
      </c>
      <c r="J188" s="17"/>
      <c r="K188" s="342">
        <f t="shared" ref="K188:M190" si="32">K189</f>
        <v>1224.5</v>
      </c>
      <c r="L188" s="342">
        <f t="shared" si="32"/>
        <v>0</v>
      </c>
      <c r="M188" s="342">
        <f t="shared" si="32"/>
        <v>1224.5</v>
      </c>
    </row>
    <row r="189" spans="1:13" s="14" customFormat="1" ht="56.25" customHeight="1" x14ac:dyDescent="0.35">
      <c r="A189" s="18"/>
      <c r="B189" s="31" t="s">
        <v>638</v>
      </c>
      <c r="C189" s="32" t="s">
        <v>2</v>
      </c>
      <c r="D189" s="17" t="s">
        <v>67</v>
      </c>
      <c r="E189" s="17" t="s">
        <v>65</v>
      </c>
      <c r="F189" s="659" t="s">
        <v>106</v>
      </c>
      <c r="G189" s="660" t="s">
        <v>36</v>
      </c>
      <c r="H189" s="660" t="s">
        <v>39</v>
      </c>
      <c r="I189" s="661" t="s">
        <v>46</v>
      </c>
      <c r="J189" s="17"/>
      <c r="K189" s="342">
        <f t="shared" si="32"/>
        <v>1224.5</v>
      </c>
      <c r="L189" s="342">
        <f t="shared" si="32"/>
        <v>0</v>
      </c>
      <c r="M189" s="342">
        <f t="shared" si="32"/>
        <v>1224.5</v>
      </c>
    </row>
    <row r="190" spans="1:13" s="14" customFormat="1" ht="36" x14ac:dyDescent="0.35">
      <c r="A190" s="18"/>
      <c r="B190" s="31" t="s">
        <v>639</v>
      </c>
      <c r="C190" s="32" t="s">
        <v>2</v>
      </c>
      <c r="D190" s="17" t="s">
        <v>67</v>
      </c>
      <c r="E190" s="17" t="s">
        <v>65</v>
      </c>
      <c r="F190" s="659" t="s">
        <v>106</v>
      </c>
      <c r="G190" s="660" t="s">
        <v>36</v>
      </c>
      <c r="H190" s="660" t="s">
        <v>39</v>
      </c>
      <c r="I190" s="661" t="s">
        <v>640</v>
      </c>
      <c r="J190" s="17"/>
      <c r="K190" s="342">
        <f t="shared" si="32"/>
        <v>1224.5</v>
      </c>
      <c r="L190" s="342">
        <f t="shared" si="32"/>
        <v>0</v>
      </c>
      <c r="M190" s="342">
        <f t="shared" si="32"/>
        <v>1224.5</v>
      </c>
    </row>
    <row r="191" spans="1:13" s="14" customFormat="1" ht="56.25" customHeight="1" x14ac:dyDescent="0.35">
      <c r="A191" s="18"/>
      <c r="B191" s="31" t="s">
        <v>57</v>
      </c>
      <c r="C191" s="32" t="s">
        <v>2</v>
      </c>
      <c r="D191" s="17" t="s">
        <v>67</v>
      </c>
      <c r="E191" s="17" t="s">
        <v>65</v>
      </c>
      <c r="F191" s="659" t="s">
        <v>106</v>
      </c>
      <c r="G191" s="660" t="s">
        <v>36</v>
      </c>
      <c r="H191" s="660" t="s">
        <v>39</v>
      </c>
      <c r="I191" s="661" t="s">
        <v>640</v>
      </c>
      <c r="J191" s="17" t="s">
        <v>58</v>
      </c>
      <c r="K191" s="33">
        <v>1224.5</v>
      </c>
      <c r="L191" s="33">
        <f>M191-K191</f>
        <v>0</v>
      </c>
      <c r="M191" s="33">
        <v>1224.5</v>
      </c>
    </row>
    <row r="192" spans="1:13" s="14" customFormat="1" ht="18" x14ac:dyDescent="0.35">
      <c r="A192" s="18"/>
      <c r="B192" s="31" t="s">
        <v>181</v>
      </c>
      <c r="C192" s="32" t="s">
        <v>2</v>
      </c>
      <c r="D192" s="17" t="s">
        <v>226</v>
      </c>
      <c r="E192" s="17"/>
      <c r="F192" s="659"/>
      <c r="G192" s="660"/>
      <c r="H192" s="660"/>
      <c r="I192" s="661"/>
      <c r="J192" s="17"/>
      <c r="K192" s="33">
        <f>K193</f>
        <v>112.4</v>
      </c>
      <c r="L192" s="33">
        <f>L193</f>
        <v>0</v>
      </c>
      <c r="M192" s="33">
        <f>M193</f>
        <v>112.4</v>
      </c>
    </row>
    <row r="193" spans="1:13" s="14" customFormat="1" ht="36" x14ac:dyDescent="0.35">
      <c r="A193" s="18"/>
      <c r="B193" s="31" t="s">
        <v>699</v>
      </c>
      <c r="C193" s="32" t="s">
        <v>2</v>
      </c>
      <c r="D193" s="17" t="s">
        <v>226</v>
      </c>
      <c r="E193" s="17" t="s">
        <v>67</v>
      </c>
      <c r="F193" s="659"/>
      <c r="G193" s="660"/>
      <c r="H193" s="660"/>
      <c r="I193" s="661"/>
      <c r="J193" s="17"/>
      <c r="K193" s="33">
        <f t="shared" ref="K193:M197" si="33">K194</f>
        <v>112.4</v>
      </c>
      <c r="L193" s="33">
        <f t="shared" si="33"/>
        <v>0</v>
      </c>
      <c r="M193" s="33">
        <f t="shared" si="33"/>
        <v>112.4</v>
      </c>
    </row>
    <row r="194" spans="1:13" s="14" customFormat="1" ht="56.25" customHeight="1" x14ac:dyDescent="0.35">
      <c r="A194" s="18"/>
      <c r="B194" s="31" t="s">
        <v>42</v>
      </c>
      <c r="C194" s="32" t="s">
        <v>2</v>
      </c>
      <c r="D194" s="17" t="s">
        <v>226</v>
      </c>
      <c r="E194" s="17" t="s">
        <v>67</v>
      </c>
      <c r="F194" s="659" t="s">
        <v>43</v>
      </c>
      <c r="G194" s="660" t="s">
        <v>44</v>
      </c>
      <c r="H194" s="660" t="s">
        <v>45</v>
      </c>
      <c r="I194" s="661" t="s">
        <v>46</v>
      </c>
      <c r="J194" s="17"/>
      <c r="K194" s="33">
        <f t="shared" si="33"/>
        <v>112.4</v>
      </c>
      <c r="L194" s="33">
        <f t="shared" si="33"/>
        <v>0</v>
      </c>
      <c r="M194" s="33">
        <f t="shared" si="33"/>
        <v>112.4</v>
      </c>
    </row>
    <row r="195" spans="1:13" s="14" customFormat="1" ht="36" customHeight="1" x14ac:dyDescent="0.35">
      <c r="A195" s="18"/>
      <c r="B195" s="31" t="s">
        <v>345</v>
      </c>
      <c r="C195" s="32" t="s">
        <v>2</v>
      </c>
      <c r="D195" s="17" t="s">
        <v>226</v>
      </c>
      <c r="E195" s="17" t="s">
        <v>67</v>
      </c>
      <c r="F195" s="659" t="s">
        <v>43</v>
      </c>
      <c r="G195" s="660" t="s">
        <v>47</v>
      </c>
      <c r="H195" s="660" t="s">
        <v>45</v>
      </c>
      <c r="I195" s="661" t="s">
        <v>46</v>
      </c>
      <c r="J195" s="17"/>
      <c r="K195" s="33">
        <f t="shared" si="33"/>
        <v>112.4</v>
      </c>
      <c r="L195" s="33">
        <f t="shared" si="33"/>
        <v>0</v>
      </c>
      <c r="M195" s="33">
        <f t="shared" si="33"/>
        <v>112.4</v>
      </c>
    </row>
    <row r="196" spans="1:13" s="14" customFormat="1" ht="18" x14ac:dyDescent="0.35">
      <c r="A196" s="18"/>
      <c r="B196" s="31" t="s">
        <v>64</v>
      </c>
      <c r="C196" s="32" t="s">
        <v>2</v>
      </c>
      <c r="D196" s="17" t="s">
        <v>226</v>
      </c>
      <c r="E196" s="17" t="s">
        <v>67</v>
      </c>
      <c r="F196" s="659" t="s">
        <v>43</v>
      </c>
      <c r="G196" s="660" t="s">
        <v>47</v>
      </c>
      <c r="H196" s="660" t="s">
        <v>65</v>
      </c>
      <c r="I196" s="661" t="s">
        <v>46</v>
      </c>
      <c r="J196" s="17"/>
      <c r="K196" s="33">
        <f t="shared" si="33"/>
        <v>112.4</v>
      </c>
      <c r="L196" s="33">
        <f t="shared" si="33"/>
        <v>0</v>
      </c>
      <c r="M196" s="33">
        <f t="shared" si="33"/>
        <v>112.4</v>
      </c>
    </row>
    <row r="197" spans="1:13" s="14" customFormat="1" ht="36" x14ac:dyDescent="0.35">
      <c r="A197" s="18"/>
      <c r="B197" s="31" t="s">
        <v>701</v>
      </c>
      <c r="C197" s="32" t="s">
        <v>2</v>
      </c>
      <c r="D197" s="17" t="s">
        <v>226</v>
      </c>
      <c r="E197" s="17" t="s">
        <v>67</v>
      </c>
      <c r="F197" s="659" t="s">
        <v>43</v>
      </c>
      <c r="G197" s="660" t="s">
        <v>47</v>
      </c>
      <c r="H197" s="660" t="s">
        <v>65</v>
      </c>
      <c r="I197" s="661" t="s">
        <v>700</v>
      </c>
      <c r="J197" s="17"/>
      <c r="K197" s="33">
        <f t="shared" si="33"/>
        <v>112.4</v>
      </c>
      <c r="L197" s="33">
        <f t="shared" si="33"/>
        <v>0</v>
      </c>
      <c r="M197" s="33">
        <f t="shared" si="33"/>
        <v>112.4</v>
      </c>
    </row>
    <row r="198" spans="1:13" s="14" customFormat="1" ht="56.25" customHeight="1" x14ac:dyDescent="0.35">
      <c r="A198" s="18"/>
      <c r="B198" s="31" t="s">
        <v>57</v>
      </c>
      <c r="C198" s="32" t="s">
        <v>2</v>
      </c>
      <c r="D198" s="17" t="s">
        <v>226</v>
      </c>
      <c r="E198" s="17" t="s">
        <v>67</v>
      </c>
      <c r="F198" s="659" t="s">
        <v>43</v>
      </c>
      <c r="G198" s="660" t="s">
        <v>47</v>
      </c>
      <c r="H198" s="660" t="s">
        <v>65</v>
      </c>
      <c r="I198" s="661" t="s">
        <v>700</v>
      </c>
      <c r="J198" s="17" t="s">
        <v>58</v>
      </c>
      <c r="K198" s="33">
        <v>112.4</v>
      </c>
      <c r="L198" s="33">
        <f>M198-K198</f>
        <v>0</v>
      </c>
      <c r="M198" s="33">
        <v>112.4</v>
      </c>
    </row>
    <row r="199" spans="1:13" s="152" customFormat="1" ht="18.75" customHeight="1" x14ac:dyDescent="0.35">
      <c r="A199" s="18"/>
      <c r="B199" s="31" t="s">
        <v>121</v>
      </c>
      <c r="C199" s="32" t="s">
        <v>2</v>
      </c>
      <c r="D199" s="17" t="s">
        <v>106</v>
      </c>
      <c r="E199" s="17"/>
      <c r="F199" s="659"/>
      <c r="G199" s="660"/>
      <c r="H199" s="660"/>
      <c r="I199" s="661"/>
      <c r="J199" s="17"/>
      <c r="K199" s="33">
        <f>K200+K206</f>
        <v>2227.6999999999998</v>
      </c>
      <c r="L199" s="33">
        <f>L200+L206</f>
        <v>0</v>
      </c>
      <c r="M199" s="33">
        <f>M200+M206</f>
        <v>2227.6999999999998</v>
      </c>
    </row>
    <row r="200" spans="1:13" s="152" customFormat="1" ht="18.75" customHeight="1" x14ac:dyDescent="0.35">
      <c r="A200" s="18"/>
      <c r="B200" s="31" t="s">
        <v>364</v>
      </c>
      <c r="C200" s="32" t="s">
        <v>2</v>
      </c>
      <c r="D200" s="17" t="s">
        <v>106</v>
      </c>
      <c r="E200" s="17" t="s">
        <v>39</v>
      </c>
      <c r="F200" s="659"/>
      <c r="G200" s="660"/>
      <c r="H200" s="660"/>
      <c r="I200" s="661"/>
      <c r="J200" s="17"/>
      <c r="K200" s="33">
        <f t="shared" ref="K200:M204" si="34">K201</f>
        <v>1200</v>
      </c>
      <c r="L200" s="33">
        <f t="shared" si="34"/>
        <v>0</v>
      </c>
      <c r="M200" s="33">
        <f t="shared" si="34"/>
        <v>1200</v>
      </c>
    </row>
    <row r="201" spans="1:13" s="152" customFormat="1" ht="56.25" customHeight="1" x14ac:dyDescent="0.35">
      <c r="A201" s="18"/>
      <c r="B201" s="38" t="s">
        <v>298</v>
      </c>
      <c r="C201" s="32" t="s">
        <v>2</v>
      </c>
      <c r="D201" s="17" t="s">
        <v>106</v>
      </c>
      <c r="E201" s="17" t="s">
        <v>39</v>
      </c>
      <c r="F201" s="659" t="s">
        <v>81</v>
      </c>
      <c r="G201" s="660" t="s">
        <v>44</v>
      </c>
      <c r="H201" s="660" t="s">
        <v>45</v>
      </c>
      <c r="I201" s="661" t="s">
        <v>46</v>
      </c>
      <c r="J201" s="17"/>
      <c r="K201" s="33">
        <f t="shared" si="34"/>
        <v>1200</v>
      </c>
      <c r="L201" s="33">
        <f t="shared" si="34"/>
        <v>0</v>
      </c>
      <c r="M201" s="33">
        <f t="shared" si="34"/>
        <v>1200</v>
      </c>
    </row>
    <row r="202" spans="1:13" s="152" customFormat="1" ht="37.5" customHeight="1" x14ac:dyDescent="0.35">
      <c r="A202" s="18"/>
      <c r="B202" s="31" t="s">
        <v>345</v>
      </c>
      <c r="C202" s="32" t="s">
        <v>2</v>
      </c>
      <c r="D202" s="17" t="s">
        <v>106</v>
      </c>
      <c r="E202" s="17" t="s">
        <v>39</v>
      </c>
      <c r="F202" s="659" t="s">
        <v>81</v>
      </c>
      <c r="G202" s="660" t="s">
        <v>47</v>
      </c>
      <c r="H202" s="660" t="s">
        <v>45</v>
      </c>
      <c r="I202" s="661" t="s">
        <v>46</v>
      </c>
      <c r="J202" s="17"/>
      <c r="K202" s="33">
        <f t="shared" si="34"/>
        <v>1200</v>
      </c>
      <c r="L202" s="33">
        <f t="shared" si="34"/>
        <v>0</v>
      </c>
      <c r="M202" s="33">
        <f t="shared" si="34"/>
        <v>1200</v>
      </c>
    </row>
    <row r="203" spans="1:13" s="152" customFormat="1" ht="93.75" customHeight="1" x14ac:dyDescent="0.35">
      <c r="A203" s="18"/>
      <c r="B203" s="34" t="s">
        <v>522</v>
      </c>
      <c r="C203" s="32" t="s">
        <v>2</v>
      </c>
      <c r="D203" s="17" t="s">
        <v>106</v>
      </c>
      <c r="E203" s="17" t="s">
        <v>39</v>
      </c>
      <c r="F203" s="659" t="s">
        <v>81</v>
      </c>
      <c r="G203" s="660" t="s">
        <v>47</v>
      </c>
      <c r="H203" s="660" t="s">
        <v>54</v>
      </c>
      <c r="I203" s="661" t="s">
        <v>46</v>
      </c>
      <c r="J203" s="17"/>
      <c r="K203" s="33">
        <f t="shared" si="34"/>
        <v>1200</v>
      </c>
      <c r="L203" s="33">
        <f t="shared" si="34"/>
        <v>0</v>
      </c>
      <c r="M203" s="33">
        <f t="shared" si="34"/>
        <v>1200</v>
      </c>
    </row>
    <row r="204" spans="1:13" s="152" customFormat="1" ht="72" x14ac:dyDescent="0.35">
      <c r="A204" s="18"/>
      <c r="B204" s="34" t="s">
        <v>517</v>
      </c>
      <c r="C204" s="32" t="s">
        <v>2</v>
      </c>
      <c r="D204" s="17" t="s">
        <v>106</v>
      </c>
      <c r="E204" s="17" t="s">
        <v>39</v>
      </c>
      <c r="F204" s="659" t="s">
        <v>81</v>
      </c>
      <c r="G204" s="660" t="s">
        <v>47</v>
      </c>
      <c r="H204" s="660" t="s">
        <v>54</v>
      </c>
      <c r="I204" s="661" t="s">
        <v>365</v>
      </c>
      <c r="J204" s="17"/>
      <c r="K204" s="33">
        <f t="shared" si="34"/>
        <v>1200</v>
      </c>
      <c r="L204" s="33">
        <f t="shared" si="34"/>
        <v>0</v>
      </c>
      <c r="M204" s="33">
        <f t="shared" si="34"/>
        <v>1200</v>
      </c>
    </row>
    <row r="205" spans="1:13" s="152" customFormat="1" ht="37.5" customHeight="1" x14ac:dyDescent="0.35">
      <c r="A205" s="18"/>
      <c r="B205" s="35" t="s">
        <v>122</v>
      </c>
      <c r="C205" s="32" t="s">
        <v>2</v>
      </c>
      <c r="D205" s="17" t="s">
        <v>106</v>
      </c>
      <c r="E205" s="17" t="s">
        <v>39</v>
      </c>
      <c r="F205" s="659" t="s">
        <v>81</v>
      </c>
      <c r="G205" s="660" t="s">
        <v>47</v>
      </c>
      <c r="H205" s="660" t="s">
        <v>54</v>
      </c>
      <c r="I205" s="661" t="s">
        <v>365</v>
      </c>
      <c r="J205" s="17" t="s">
        <v>123</v>
      </c>
      <c r="K205" s="33">
        <f>504+696</f>
        <v>1200</v>
      </c>
      <c r="L205" s="33">
        <f>M205-K205</f>
        <v>0</v>
      </c>
      <c r="M205" s="33">
        <f>504+696</f>
        <v>1200</v>
      </c>
    </row>
    <row r="206" spans="1:13" s="152" customFormat="1" ht="37.5" customHeight="1" x14ac:dyDescent="0.35">
      <c r="A206" s="18"/>
      <c r="B206" s="31" t="s">
        <v>124</v>
      </c>
      <c r="C206" s="32" t="s">
        <v>2</v>
      </c>
      <c r="D206" s="17" t="s">
        <v>106</v>
      </c>
      <c r="E206" s="17" t="s">
        <v>83</v>
      </c>
      <c r="F206" s="659"/>
      <c r="G206" s="660"/>
      <c r="H206" s="660"/>
      <c r="I206" s="661"/>
      <c r="J206" s="17"/>
      <c r="K206" s="33">
        <f>K207</f>
        <v>1027.7</v>
      </c>
      <c r="L206" s="33">
        <f>L207</f>
        <v>0</v>
      </c>
      <c r="M206" s="33">
        <f>M207</f>
        <v>1027.7</v>
      </c>
    </row>
    <row r="207" spans="1:13" s="152" customFormat="1" ht="78" customHeight="1" x14ac:dyDescent="0.35">
      <c r="A207" s="18"/>
      <c r="B207" s="31" t="s">
        <v>74</v>
      </c>
      <c r="C207" s="32" t="s">
        <v>2</v>
      </c>
      <c r="D207" s="17" t="s">
        <v>106</v>
      </c>
      <c r="E207" s="17" t="s">
        <v>83</v>
      </c>
      <c r="F207" s="659" t="s">
        <v>75</v>
      </c>
      <c r="G207" s="660" t="s">
        <v>44</v>
      </c>
      <c r="H207" s="660" t="s">
        <v>45</v>
      </c>
      <c r="I207" s="661" t="s">
        <v>46</v>
      </c>
      <c r="J207" s="17"/>
      <c r="K207" s="33">
        <f t="shared" ref="K207:M210" si="35">K208</f>
        <v>1027.7</v>
      </c>
      <c r="L207" s="33">
        <f t="shared" si="35"/>
        <v>0</v>
      </c>
      <c r="M207" s="33">
        <f t="shared" si="35"/>
        <v>1027.7</v>
      </c>
    </row>
    <row r="208" spans="1:13" s="152" customFormat="1" ht="37.5" customHeight="1" x14ac:dyDescent="0.35">
      <c r="A208" s="18"/>
      <c r="B208" s="31" t="s">
        <v>345</v>
      </c>
      <c r="C208" s="32" t="s">
        <v>2</v>
      </c>
      <c r="D208" s="17" t="s">
        <v>106</v>
      </c>
      <c r="E208" s="17" t="s">
        <v>83</v>
      </c>
      <c r="F208" s="659" t="s">
        <v>75</v>
      </c>
      <c r="G208" s="660" t="s">
        <v>47</v>
      </c>
      <c r="H208" s="660" t="s">
        <v>45</v>
      </c>
      <c r="I208" s="661" t="s">
        <v>46</v>
      </c>
      <c r="J208" s="17"/>
      <c r="K208" s="33">
        <f t="shared" si="35"/>
        <v>1027.7</v>
      </c>
      <c r="L208" s="33">
        <f t="shared" si="35"/>
        <v>0</v>
      </c>
      <c r="M208" s="33">
        <f t="shared" si="35"/>
        <v>1027.7</v>
      </c>
    </row>
    <row r="209" spans="1:13" s="152" customFormat="1" ht="56.25" customHeight="1" x14ac:dyDescent="0.35">
      <c r="A209" s="18"/>
      <c r="B209" s="34" t="s">
        <v>268</v>
      </c>
      <c r="C209" s="32" t="s">
        <v>2</v>
      </c>
      <c r="D209" s="17" t="s">
        <v>106</v>
      </c>
      <c r="E209" s="17" t="s">
        <v>83</v>
      </c>
      <c r="F209" s="659" t="s">
        <v>75</v>
      </c>
      <c r="G209" s="660" t="s">
        <v>47</v>
      </c>
      <c r="H209" s="660" t="s">
        <v>39</v>
      </c>
      <c r="I209" s="661" t="s">
        <v>46</v>
      </c>
      <c r="J209" s="17"/>
      <c r="K209" s="33">
        <f t="shared" si="35"/>
        <v>1027.7</v>
      </c>
      <c r="L209" s="33">
        <f t="shared" si="35"/>
        <v>0</v>
      </c>
      <c r="M209" s="33">
        <f t="shared" si="35"/>
        <v>1027.7</v>
      </c>
    </row>
    <row r="210" spans="1:13" s="152" customFormat="1" ht="53.4" customHeight="1" x14ac:dyDescent="0.35">
      <c r="A210" s="18"/>
      <c r="B210" s="34" t="s">
        <v>76</v>
      </c>
      <c r="C210" s="32" t="s">
        <v>2</v>
      </c>
      <c r="D210" s="17" t="s">
        <v>106</v>
      </c>
      <c r="E210" s="17" t="s">
        <v>83</v>
      </c>
      <c r="F210" s="659" t="s">
        <v>75</v>
      </c>
      <c r="G210" s="660" t="s">
        <v>47</v>
      </c>
      <c r="H210" s="660" t="s">
        <v>39</v>
      </c>
      <c r="I210" s="661" t="s">
        <v>77</v>
      </c>
      <c r="J210" s="17"/>
      <c r="K210" s="33">
        <f t="shared" si="35"/>
        <v>1027.7</v>
      </c>
      <c r="L210" s="33">
        <f t="shared" si="35"/>
        <v>0</v>
      </c>
      <c r="M210" s="33">
        <f t="shared" si="35"/>
        <v>1027.7</v>
      </c>
    </row>
    <row r="211" spans="1:13" s="152" customFormat="1" ht="56.25" customHeight="1" x14ac:dyDescent="0.35">
      <c r="A211" s="18"/>
      <c r="B211" s="35" t="s">
        <v>78</v>
      </c>
      <c r="C211" s="32" t="s">
        <v>2</v>
      </c>
      <c r="D211" s="17" t="s">
        <v>106</v>
      </c>
      <c r="E211" s="17" t="s">
        <v>83</v>
      </c>
      <c r="F211" s="659" t="s">
        <v>75</v>
      </c>
      <c r="G211" s="660" t="s">
        <v>47</v>
      </c>
      <c r="H211" s="660" t="s">
        <v>39</v>
      </c>
      <c r="I211" s="661" t="s">
        <v>77</v>
      </c>
      <c r="J211" s="17" t="s">
        <v>79</v>
      </c>
      <c r="K211" s="33">
        <v>1027.7</v>
      </c>
      <c r="L211" s="33">
        <f>M211-K211</f>
        <v>0</v>
      </c>
      <c r="M211" s="33">
        <v>1027.7</v>
      </c>
    </row>
    <row r="212" spans="1:13" s="152" customFormat="1" ht="37.5" customHeight="1" x14ac:dyDescent="0.35">
      <c r="A212" s="18"/>
      <c r="B212" s="318" t="s">
        <v>395</v>
      </c>
      <c r="C212" s="32" t="s">
        <v>2</v>
      </c>
      <c r="D212" s="17" t="s">
        <v>73</v>
      </c>
      <c r="E212" s="17"/>
      <c r="F212" s="659"/>
      <c r="G212" s="660"/>
      <c r="H212" s="660"/>
      <c r="I212" s="661"/>
      <c r="J212" s="17"/>
      <c r="K212" s="33">
        <f t="shared" ref="K212:M217" si="36">K213</f>
        <v>9.4</v>
      </c>
      <c r="L212" s="33">
        <f t="shared" si="36"/>
        <v>0</v>
      </c>
      <c r="M212" s="33">
        <f t="shared" si="36"/>
        <v>9.4</v>
      </c>
    </row>
    <row r="213" spans="1:13" s="152" customFormat="1" ht="37.5" customHeight="1" x14ac:dyDescent="0.35">
      <c r="A213" s="18"/>
      <c r="B213" s="307" t="s">
        <v>533</v>
      </c>
      <c r="C213" s="32" t="s">
        <v>2</v>
      </c>
      <c r="D213" s="17" t="s">
        <v>73</v>
      </c>
      <c r="E213" s="17" t="s">
        <v>39</v>
      </c>
      <c r="F213" s="659"/>
      <c r="G213" s="660"/>
      <c r="H213" s="660"/>
      <c r="I213" s="661"/>
      <c r="J213" s="17"/>
      <c r="K213" s="33">
        <f t="shared" si="36"/>
        <v>9.4</v>
      </c>
      <c r="L213" s="33">
        <f t="shared" si="36"/>
        <v>0</v>
      </c>
      <c r="M213" s="33">
        <f t="shared" si="36"/>
        <v>9.4</v>
      </c>
    </row>
    <row r="214" spans="1:13" s="152" customFormat="1" ht="61.5" customHeight="1" x14ac:dyDescent="0.35">
      <c r="A214" s="18"/>
      <c r="B214" s="31" t="s">
        <v>42</v>
      </c>
      <c r="C214" s="32" t="s">
        <v>2</v>
      </c>
      <c r="D214" s="17" t="s">
        <v>73</v>
      </c>
      <c r="E214" s="17" t="s">
        <v>39</v>
      </c>
      <c r="F214" s="659" t="s">
        <v>43</v>
      </c>
      <c r="G214" s="660" t="s">
        <v>44</v>
      </c>
      <c r="H214" s="660" t="s">
        <v>45</v>
      </c>
      <c r="I214" s="661" t="s">
        <v>46</v>
      </c>
      <c r="J214" s="17"/>
      <c r="K214" s="33">
        <f t="shared" si="36"/>
        <v>9.4</v>
      </c>
      <c r="L214" s="33">
        <f t="shared" si="36"/>
        <v>0</v>
      </c>
      <c r="M214" s="33">
        <f t="shared" si="36"/>
        <v>9.4</v>
      </c>
    </row>
    <row r="215" spans="1:13" s="152" customFormat="1" ht="37.5" customHeight="1" x14ac:dyDescent="0.35">
      <c r="A215" s="18"/>
      <c r="B215" s="31" t="s">
        <v>345</v>
      </c>
      <c r="C215" s="32" t="s">
        <v>2</v>
      </c>
      <c r="D215" s="17" t="s">
        <v>73</v>
      </c>
      <c r="E215" s="17" t="s">
        <v>39</v>
      </c>
      <c r="F215" s="659" t="s">
        <v>43</v>
      </c>
      <c r="G215" s="660" t="s">
        <v>47</v>
      </c>
      <c r="H215" s="660" t="s">
        <v>45</v>
      </c>
      <c r="I215" s="661" t="s">
        <v>46</v>
      </c>
      <c r="J215" s="17"/>
      <c r="K215" s="33">
        <f t="shared" si="36"/>
        <v>9.4</v>
      </c>
      <c r="L215" s="33">
        <f t="shared" si="36"/>
        <v>0</v>
      </c>
      <c r="M215" s="33">
        <f t="shared" si="36"/>
        <v>9.4</v>
      </c>
    </row>
    <row r="216" spans="1:13" s="152" customFormat="1" ht="56.25" customHeight="1" x14ac:dyDescent="0.35">
      <c r="A216" s="18"/>
      <c r="B216" s="35" t="s">
        <v>392</v>
      </c>
      <c r="C216" s="32" t="s">
        <v>2</v>
      </c>
      <c r="D216" s="17" t="s">
        <v>73</v>
      </c>
      <c r="E216" s="17" t="s">
        <v>39</v>
      </c>
      <c r="F216" s="659" t="s">
        <v>43</v>
      </c>
      <c r="G216" s="660" t="s">
        <v>47</v>
      </c>
      <c r="H216" s="660" t="s">
        <v>81</v>
      </c>
      <c r="I216" s="661" t="s">
        <v>46</v>
      </c>
      <c r="J216" s="17"/>
      <c r="K216" s="33">
        <f t="shared" si="36"/>
        <v>9.4</v>
      </c>
      <c r="L216" s="33">
        <f t="shared" si="36"/>
        <v>0</v>
      </c>
      <c r="M216" s="33">
        <f t="shared" si="36"/>
        <v>9.4</v>
      </c>
    </row>
    <row r="217" spans="1:13" s="152" customFormat="1" ht="37.5" customHeight="1" x14ac:dyDescent="0.35">
      <c r="A217" s="18"/>
      <c r="B217" s="35" t="s">
        <v>393</v>
      </c>
      <c r="C217" s="32" t="s">
        <v>2</v>
      </c>
      <c r="D217" s="17" t="s">
        <v>73</v>
      </c>
      <c r="E217" s="17" t="s">
        <v>39</v>
      </c>
      <c r="F217" s="659" t="s">
        <v>43</v>
      </c>
      <c r="G217" s="660" t="s">
        <v>47</v>
      </c>
      <c r="H217" s="660" t="s">
        <v>81</v>
      </c>
      <c r="I217" s="661" t="s">
        <v>394</v>
      </c>
      <c r="J217" s="17"/>
      <c r="K217" s="33">
        <f t="shared" si="36"/>
        <v>9.4</v>
      </c>
      <c r="L217" s="33">
        <f t="shared" si="36"/>
        <v>0</v>
      </c>
      <c r="M217" s="33">
        <f t="shared" si="36"/>
        <v>9.4</v>
      </c>
    </row>
    <row r="218" spans="1:13" s="152" customFormat="1" ht="37.5" customHeight="1" x14ac:dyDescent="0.35">
      <c r="A218" s="18"/>
      <c r="B218" s="35" t="s">
        <v>395</v>
      </c>
      <c r="C218" s="32" t="s">
        <v>2</v>
      </c>
      <c r="D218" s="17" t="s">
        <v>73</v>
      </c>
      <c r="E218" s="17" t="s">
        <v>39</v>
      </c>
      <c r="F218" s="659" t="s">
        <v>43</v>
      </c>
      <c r="G218" s="660" t="s">
        <v>47</v>
      </c>
      <c r="H218" s="660" t="s">
        <v>81</v>
      </c>
      <c r="I218" s="661" t="s">
        <v>394</v>
      </c>
      <c r="J218" s="17" t="s">
        <v>396</v>
      </c>
      <c r="K218" s="33">
        <v>9.4</v>
      </c>
      <c r="L218" s="33">
        <f>M218-K218</f>
        <v>0</v>
      </c>
      <c r="M218" s="33">
        <v>9.4</v>
      </c>
    </row>
    <row r="219" spans="1:13" s="152" customFormat="1" ht="54" x14ac:dyDescent="0.35">
      <c r="A219" s="18"/>
      <c r="B219" s="31" t="s">
        <v>202</v>
      </c>
      <c r="C219" s="32" t="s">
        <v>2</v>
      </c>
      <c r="D219" s="17" t="s">
        <v>90</v>
      </c>
      <c r="E219" s="17"/>
      <c r="F219" s="659"/>
      <c r="G219" s="660"/>
      <c r="H219" s="660"/>
      <c r="I219" s="661"/>
      <c r="J219" s="17"/>
      <c r="K219" s="33">
        <f>K220</f>
        <v>0</v>
      </c>
      <c r="L219" s="33">
        <f>L220</f>
        <v>20238.41</v>
      </c>
      <c r="M219" s="33">
        <f t="shared" ref="M219:M221" si="37">M220</f>
        <v>20238.41</v>
      </c>
    </row>
    <row r="220" spans="1:13" s="152" customFormat="1" ht="36" x14ac:dyDescent="0.35">
      <c r="A220" s="18"/>
      <c r="B220" s="35" t="s">
        <v>752</v>
      </c>
      <c r="C220" s="32" t="s">
        <v>2</v>
      </c>
      <c r="D220" s="17" t="s">
        <v>90</v>
      </c>
      <c r="E220" s="17" t="s">
        <v>65</v>
      </c>
      <c r="F220" s="659"/>
      <c r="G220" s="660"/>
      <c r="H220" s="660"/>
      <c r="I220" s="661"/>
      <c r="J220" s="17"/>
      <c r="K220" s="33">
        <f>K221</f>
        <v>0</v>
      </c>
      <c r="L220" s="33">
        <f t="shared" ref="L220:L221" si="38">L221</f>
        <v>20238.41</v>
      </c>
      <c r="M220" s="33">
        <f t="shared" si="37"/>
        <v>20238.41</v>
      </c>
    </row>
    <row r="221" spans="1:13" s="152" customFormat="1" ht="108" x14ac:dyDescent="0.35">
      <c r="A221" s="18"/>
      <c r="B221" s="35" t="s">
        <v>755</v>
      </c>
      <c r="C221" s="32" t="s">
        <v>2</v>
      </c>
      <c r="D221" s="17" t="s">
        <v>90</v>
      </c>
      <c r="E221" s="17" t="s">
        <v>65</v>
      </c>
      <c r="F221" s="659" t="s">
        <v>753</v>
      </c>
      <c r="G221" s="660" t="s">
        <v>44</v>
      </c>
      <c r="H221" s="660" t="s">
        <v>45</v>
      </c>
      <c r="I221" s="661" t="s">
        <v>46</v>
      </c>
      <c r="J221" s="17"/>
      <c r="K221" s="33">
        <f>K222</f>
        <v>0</v>
      </c>
      <c r="L221" s="33">
        <f t="shared" si="38"/>
        <v>20238.41</v>
      </c>
      <c r="M221" s="33">
        <f t="shared" si="37"/>
        <v>20238.41</v>
      </c>
    </row>
    <row r="222" spans="1:13" s="152" customFormat="1" ht="108" x14ac:dyDescent="0.35">
      <c r="A222" s="18"/>
      <c r="B222" s="35" t="s">
        <v>756</v>
      </c>
      <c r="C222" s="32" t="s">
        <v>2</v>
      </c>
      <c r="D222" s="17" t="s">
        <v>90</v>
      </c>
      <c r="E222" s="17" t="s">
        <v>65</v>
      </c>
      <c r="F222" s="659" t="s">
        <v>753</v>
      </c>
      <c r="G222" s="660" t="s">
        <v>91</v>
      </c>
      <c r="H222" s="660" t="s">
        <v>45</v>
      </c>
      <c r="I222" s="661" t="s">
        <v>46</v>
      </c>
      <c r="J222" s="17"/>
      <c r="K222" s="33">
        <f>K223+K226+K229+K232+K235+K238+K241+K244</f>
        <v>0</v>
      </c>
      <c r="L222" s="33">
        <f>L223+L226+L229+L232+L235+L238+L241+L244+L247</f>
        <v>20238.41</v>
      </c>
      <c r="M222" s="33">
        <f>M223+M226+M229+M232+M235+M238+M241+M244+M247</f>
        <v>20238.41</v>
      </c>
    </row>
    <row r="223" spans="1:13" s="152" customFormat="1" ht="72" x14ac:dyDescent="0.35">
      <c r="A223" s="18"/>
      <c r="B223" s="35" t="s">
        <v>757</v>
      </c>
      <c r="C223" s="32" t="s">
        <v>2</v>
      </c>
      <c r="D223" s="17" t="s">
        <v>90</v>
      </c>
      <c r="E223" s="17" t="s">
        <v>65</v>
      </c>
      <c r="F223" s="659" t="s">
        <v>753</v>
      </c>
      <c r="G223" s="660" t="s">
        <v>91</v>
      </c>
      <c r="H223" s="660" t="s">
        <v>39</v>
      </c>
      <c r="I223" s="661" t="s">
        <v>46</v>
      </c>
      <c r="J223" s="17"/>
      <c r="K223" s="33">
        <f>K224</f>
        <v>0</v>
      </c>
      <c r="L223" s="33">
        <f t="shared" ref="L223:M224" si="39">L224</f>
        <v>5500</v>
      </c>
      <c r="M223" s="33">
        <f t="shared" si="39"/>
        <v>5500</v>
      </c>
    </row>
    <row r="224" spans="1:13" s="152" customFormat="1" ht="72" x14ac:dyDescent="0.35">
      <c r="A224" s="18"/>
      <c r="B224" s="35" t="s">
        <v>758</v>
      </c>
      <c r="C224" s="32" t="s">
        <v>2</v>
      </c>
      <c r="D224" s="17" t="s">
        <v>90</v>
      </c>
      <c r="E224" s="17" t="s">
        <v>65</v>
      </c>
      <c r="F224" s="659" t="s">
        <v>753</v>
      </c>
      <c r="G224" s="660" t="s">
        <v>91</v>
      </c>
      <c r="H224" s="660" t="s">
        <v>39</v>
      </c>
      <c r="I224" s="661" t="s">
        <v>754</v>
      </c>
      <c r="J224" s="17"/>
      <c r="K224" s="33">
        <f>K225</f>
        <v>0</v>
      </c>
      <c r="L224" s="33">
        <f t="shared" si="39"/>
        <v>5500</v>
      </c>
      <c r="M224" s="33">
        <f t="shared" si="39"/>
        <v>5500</v>
      </c>
    </row>
    <row r="225" spans="1:13" s="152" customFormat="1" ht="18" x14ac:dyDescent="0.35">
      <c r="A225" s="18"/>
      <c r="B225" s="35" t="s">
        <v>125</v>
      </c>
      <c r="C225" s="32" t="s">
        <v>2</v>
      </c>
      <c r="D225" s="17" t="s">
        <v>90</v>
      </c>
      <c r="E225" s="17" t="s">
        <v>65</v>
      </c>
      <c r="F225" s="659" t="s">
        <v>753</v>
      </c>
      <c r="G225" s="660" t="s">
        <v>91</v>
      </c>
      <c r="H225" s="660" t="s">
        <v>39</v>
      </c>
      <c r="I225" s="661" t="s">
        <v>754</v>
      </c>
      <c r="J225" s="17" t="s">
        <v>126</v>
      </c>
      <c r="K225" s="33"/>
      <c r="L225" s="33">
        <f>M225-K225</f>
        <v>5500</v>
      </c>
      <c r="M225" s="33">
        <v>5500</v>
      </c>
    </row>
    <row r="226" spans="1:13" s="152" customFormat="1" ht="72" x14ac:dyDescent="0.35">
      <c r="A226" s="18"/>
      <c r="B226" s="35" t="s">
        <v>759</v>
      </c>
      <c r="C226" s="32" t="s">
        <v>2</v>
      </c>
      <c r="D226" s="17" t="s">
        <v>90</v>
      </c>
      <c r="E226" s="17" t="s">
        <v>65</v>
      </c>
      <c r="F226" s="659" t="s">
        <v>753</v>
      </c>
      <c r="G226" s="660" t="s">
        <v>91</v>
      </c>
      <c r="H226" s="660" t="s">
        <v>41</v>
      </c>
      <c r="I226" s="661" t="s">
        <v>46</v>
      </c>
      <c r="J226" s="17"/>
      <c r="K226" s="33">
        <f>K227</f>
        <v>0</v>
      </c>
      <c r="L226" s="33">
        <f>L227</f>
        <v>2500</v>
      </c>
      <c r="M226" s="33">
        <f>M227</f>
        <v>2500</v>
      </c>
    </row>
    <row r="227" spans="1:13" s="152" customFormat="1" ht="72" x14ac:dyDescent="0.35">
      <c r="A227" s="18"/>
      <c r="B227" s="35" t="s">
        <v>758</v>
      </c>
      <c r="C227" s="32" t="s">
        <v>2</v>
      </c>
      <c r="D227" s="17" t="s">
        <v>90</v>
      </c>
      <c r="E227" s="17" t="s">
        <v>65</v>
      </c>
      <c r="F227" s="659" t="s">
        <v>753</v>
      </c>
      <c r="G227" s="660" t="s">
        <v>91</v>
      </c>
      <c r="H227" s="660" t="s">
        <v>41</v>
      </c>
      <c r="I227" s="661" t="s">
        <v>754</v>
      </c>
      <c r="J227" s="17"/>
      <c r="K227" s="33">
        <f>K228</f>
        <v>0</v>
      </c>
      <c r="L227" s="33">
        <f t="shared" ref="L227:M227" si="40">L228</f>
        <v>2500</v>
      </c>
      <c r="M227" s="33">
        <f t="shared" si="40"/>
        <v>2500</v>
      </c>
    </row>
    <row r="228" spans="1:13" s="152" customFormat="1" ht="18" x14ac:dyDescent="0.35">
      <c r="A228" s="18"/>
      <c r="B228" s="35" t="s">
        <v>125</v>
      </c>
      <c r="C228" s="32" t="s">
        <v>2</v>
      </c>
      <c r="D228" s="17" t="s">
        <v>90</v>
      </c>
      <c r="E228" s="17" t="s">
        <v>65</v>
      </c>
      <c r="F228" s="659" t="s">
        <v>753</v>
      </c>
      <c r="G228" s="660" t="s">
        <v>91</v>
      </c>
      <c r="H228" s="660" t="s">
        <v>41</v>
      </c>
      <c r="I228" s="661" t="s">
        <v>754</v>
      </c>
      <c r="J228" s="17" t="s">
        <v>126</v>
      </c>
      <c r="K228" s="33"/>
      <c r="L228" s="33">
        <f>M228-K228</f>
        <v>2500</v>
      </c>
      <c r="M228" s="33">
        <v>2500</v>
      </c>
    </row>
    <row r="229" spans="1:13" s="152" customFormat="1" ht="54" x14ac:dyDescent="0.35">
      <c r="A229" s="18"/>
      <c r="B229" s="35" t="s">
        <v>760</v>
      </c>
      <c r="C229" s="32" t="s">
        <v>2</v>
      </c>
      <c r="D229" s="17" t="s">
        <v>90</v>
      </c>
      <c r="E229" s="17" t="s">
        <v>65</v>
      </c>
      <c r="F229" s="659" t="s">
        <v>753</v>
      </c>
      <c r="G229" s="660" t="s">
        <v>91</v>
      </c>
      <c r="H229" s="660" t="s">
        <v>65</v>
      </c>
      <c r="I229" s="661" t="s">
        <v>46</v>
      </c>
      <c r="J229" s="17"/>
      <c r="K229" s="33">
        <f>K230</f>
        <v>0</v>
      </c>
      <c r="L229" s="33">
        <f>L230</f>
        <v>3000</v>
      </c>
      <c r="M229" s="33">
        <f>M230</f>
        <v>3000</v>
      </c>
    </row>
    <row r="230" spans="1:13" s="152" customFormat="1" ht="72" x14ac:dyDescent="0.35">
      <c r="A230" s="18"/>
      <c r="B230" s="35" t="s">
        <v>758</v>
      </c>
      <c r="C230" s="32" t="s">
        <v>2</v>
      </c>
      <c r="D230" s="17" t="s">
        <v>90</v>
      </c>
      <c r="E230" s="17" t="s">
        <v>65</v>
      </c>
      <c r="F230" s="659" t="s">
        <v>753</v>
      </c>
      <c r="G230" s="660" t="s">
        <v>91</v>
      </c>
      <c r="H230" s="660" t="s">
        <v>65</v>
      </c>
      <c r="I230" s="661" t="s">
        <v>754</v>
      </c>
      <c r="J230" s="17"/>
      <c r="K230" s="33">
        <f>K231</f>
        <v>0</v>
      </c>
      <c r="L230" s="33">
        <f t="shared" ref="L230:M230" si="41">L231</f>
        <v>3000</v>
      </c>
      <c r="M230" s="33">
        <f t="shared" si="41"/>
        <v>3000</v>
      </c>
    </row>
    <row r="231" spans="1:13" s="152" customFormat="1" ht="18" x14ac:dyDescent="0.35">
      <c r="A231" s="18"/>
      <c r="B231" s="35" t="s">
        <v>125</v>
      </c>
      <c r="C231" s="32" t="s">
        <v>2</v>
      </c>
      <c r="D231" s="17" t="s">
        <v>90</v>
      </c>
      <c r="E231" s="17" t="s">
        <v>65</v>
      </c>
      <c r="F231" s="659" t="s">
        <v>753</v>
      </c>
      <c r="G231" s="660" t="s">
        <v>91</v>
      </c>
      <c r="H231" s="660" t="s">
        <v>65</v>
      </c>
      <c r="I231" s="661" t="s">
        <v>754</v>
      </c>
      <c r="J231" s="17" t="s">
        <v>126</v>
      </c>
      <c r="K231" s="33"/>
      <c r="L231" s="33">
        <f>M231-K231</f>
        <v>3000</v>
      </c>
      <c r="M231" s="33">
        <v>3000</v>
      </c>
    </row>
    <row r="232" spans="1:13" s="152" customFormat="1" ht="126" x14ac:dyDescent="0.35">
      <c r="A232" s="18"/>
      <c r="B232" s="35" t="s">
        <v>761</v>
      </c>
      <c r="C232" s="32" t="s">
        <v>2</v>
      </c>
      <c r="D232" s="17" t="s">
        <v>90</v>
      </c>
      <c r="E232" s="17" t="s">
        <v>65</v>
      </c>
      <c r="F232" s="659" t="s">
        <v>753</v>
      </c>
      <c r="G232" s="660" t="s">
        <v>91</v>
      </c>
      <c r="H232" s="660" t="s">
        <v>54</v>
      </c>
      <c r="I232" s="661" t="s">
        <v>46</v>
      </c>
      <c r="J232" s="17"/>
      <c r="K232" s="33">
        <f>K233</f>
        <v>0</v>
      </c>
      <c r="L232" s="33">
        <f t="shared" ref="L232:M233" si="42">L233</f>
        <v>4280</v>
      </c>
      <c r="M232" s="33">
        <f t="shared" si="42"/>
        <v>4280</v>
      </c>
    </row>
    <row r="233" spans="1:13" s="152" customFormat="1" ht="72" x14ac:dyDescent="0.35">
      <c r="A233" s="18"/>
      <c r="B233" s="35" t="s">
        <v>758</v>
      </c>
      <c r="C233" s="32" t="s">
        <v>2</v>
      </c>
      <c r="D233" s="17" t="s">
        <v>90</v>
      </c>
      <c r="E233" s="17" t="s">
        <v>65</v>
      </c>
      <c r="F233" s="659" t="s">
        <v>753</v>
      </c>
      <c r="G233" s="660" t="s">
        <v>91</v>
      </c>
      <c r="H233" s="660" t="s">
        <v>54</v>
      </c>
      <c r="I233" s="661" t="s">
        <v>754</v>
      </c>
      <c r="J233" s="17"/>
      <c r="K233" s="33">
        <f>K234</f>
        <v>0</v>
      </c>
      <c r="L233" s="33">
        <f t="shared" si="42"/>
        <v>4280</v>
      </c>
      <c r="M233" s="33">
        <f t="shared" si="42"/>
        <v>4280</v>
      </c>
    </row>
    <row r="234" spans="1:13" s="152" customFormat="1" ht="18" x14ac:dyDescent="0.35">
      <c r="A234" s="18"/>
      <c r="B234" s="35" t="s">
        <v>125</v>
      </c>
      <c r="C234" s="32" t="s">
        <v>2</v>
      </c>
      <c r="D234" s="17" t="s">
        <v>90</v>
      </c>
      <c r="E234" s="17" t="s">
        <v>65</v>
      </c>
      <c r="F234" s="659" t="s">
        <v>753</v>
      </c>
      <c r="G234" s="660" t="s">
        <v>91</v>
      </c>
      <c r="H234" s="660" t="s">
        <v>54</v>
      </c>
      <c r="I234" s="661" t="s">
        <v>754</v>
      </c>
      <c r="J234" s="17" t="s">
        <v>126</v>
      </c>
      <c r="K234" s="33"/>
      <c r="L234" s="33">
        <f>M234-K234</f>
        <v>4280</v>
      </c>
      <c r="M234" s="33">
        <v>4280</v>
      </c>
    </row>
    <row r="235" spans="1:13" s="152" customFormat="1" ht="144" x14ac:dyDescent="0.35">
      <c r="A235" s="18"/>
      <c r="B235" s="35" t="s">
        <v>762</v>
      </c>
      <c r="C235" s="32" t="s">
        <v>2</v>
      </c>
      <c r="D235" s="17" t="s">
        <v>90</v>
      </c>
      <c r="E235" s="17" t="s">
        <v>65</v>
      </c>
      <c r="F235" s="659" t="s">
        <v>753</v>
      </c>
      <c r="G235" s="660" t="s">
        <v>91</v>
      </c>
      <c r="H235" s="660" t="s">
        <v>67</v>
      </c>
      <c r="I235" s="661" t="s">
        <v>46</v>
      </c>
      <c r="J235" s="17"/>
      <c r="K235" s="33">
        <f>K236</f>
        <v>0</v>
      </c>
      <c r="L235" s="33">
        <f t="shared" ref="L235:M236" si="43">L236</f>
        <v>400</v>
      </c>
      <c r="M235" s="33">
        <f t="shared" si="43"/>
        <v>400</v>
      </c>
    </row>
    <row r="236" spans="1:13" s="152" customFormat="1" ht="72" x14ac:dyDescent="0.35">
      <c r="A236" s="18"/>
      <c r="B236" s="35" t="s">
        <v>758</v>
      </c>
      <c r="C236" s="32" t="s">
        <v>2</v>
      </c>
      <c r="D236" s="17" t="s">
        <v>90</v>
      </c>
      <c r="E236" s="17" t="s">
        <v>65</v>
      </c>
      <c r="F236" s="659" t="s">
        <v>753</v>
      </c>
      <c r="G236" s="660" t="s">
        <v>91</v>
      </c>
      <c r="H236" s="660" t="s">
        <v>67</v>
      </c>
      <c r="I236" s="661" t="s">
        <v>754</v>
      </c>
      <c r="J236" s="17"/>
      <c r="K236" s="33">
        <f>K237</f>
        <v>0</v>
      </c>
      <c r="L236" s="33">
        <f t="shared" si="43"/>
        <v>400</v>
      </c>
      <c r="M236" s="33">
        <f t="shared" si="43"/>
        <v>400</v>
      </c>
    </row>
    <row r="237" spans="1:13" s="152" customFormat="1" ht="18" x14ac:dyDescent="0.35">
      <c r="A237" s="18"/>
      <c r="B237" s="35" t="s">
        <v>125</v>
      </c>
      <c r="C237" s="32" t="s">
        <v>2</v>
      </c>
      <c r="D237" s="17" t="s">
        <v>90</v>
      </c>
      <c r="E237" s="17" t="s">
        <v>65</v>
      </c>
      <c r="F237" s="659" t="s">
        <v>753</v>
      </c>
      <c r="G237" s="660" t="s">
        <v>91</v>
      </c>
      <c r="H237" s="660" t="s">
        <v>67</v>
      </c>
      <c r="I237" s="661" t="s">
        <v>754</v>
      </c>
      <c r="J237" s="17" t="s">
        <v>126</v>
      </c>
      <c r="K237" s="33"/>
      <c r="L237" s="33">
        <f>M237-K237</f>
        <v>400</v>
      </c>
      <c r="M237" s="33">
        <v>400</v>
      </c>
    </row>
    <row r="238" spans="1:13" s="152" customFormat="1" ht="72" x14ac:dyDescent="0.35">
      <c r="A238" s="18"/>
      <c r="B238" s="35" t="s">
        <v>763</v>
      </c>
      <c r="C238" s="32" t="s">
        <v>2</v>
      </c>
      <c r="D238" s="17" t="s">
        <v>90</v>
      </c>
      <c r="E238" s="17" t="s">
        <v>65</v>
      </c>
      <c r="F238" s="659" t="s">
        <v>753</v>
      </c>
      <c r="G238" s="660" t="s">
        <v>91</v>
      </c>
      <c r="H238" s="660" t="s">
        <v>83</v>
      </c>
      <c r="I238" s="661" t="s">
        <v>46</v>
      </c>
      <c r="J238" s="17"/>
      <c r="K238" s="33">
        <f>K239</f>
        <v>0</v>
      </c>
      <c r="L238" s="33">
        <f t="shared" ref="L238:M239" si="44">L239</f>
        <v>36.4</v>
      </c>
      <c r="M238" s="33">
        <f t="shared" si="44"/>
        <v>36.4</v>
      </c>
    </row>
    <row r="239" spans="1:13" s="152" customFormat="1" ht="72" x14ac:dyDescent="0.35">
      <c r="A239" s="18"/>
      <c r="B239" s="35" t="s">
        <v>758</v>
      </c>
      <c r="C239" s="32" t="s">
        <v>2</v>
      </c>
      <c r="D239" s="17" t="s">
        <v>90</v>
      </c>
      <c r="E239" s="17" t="s">
        <v>65</v>
      </c>
      <c r="F239" s="659" t="s">
        <v>753</v>
      </c>
      <c r="G239" s="660" t="s">
        <v>91</v>
      </c>
      <c r="H239" s="660" t="s">
        <v>83</v>
      </c>
      <c r="I239" s="661" t="s">
        <v>754</v>
      </c>
      <c r="J239" s="17"/>
      <c r="K239" s="33">
        <f>K240</f>
        <v>0</v>
      </c>
      <c r="L239" s="33">
        <f t="shared" si="44"/>
        <v>36.4</v>
      </c>
      <c r="M239" s="33">
        <f t="shared" si="44"/>
        <v>36.4</v>
      </c>
    </row>
    <row r="240" spans="1:13" s="152" customFormat="1" ht="18" x14ac:dyDescent="0.35">
      <c r="A240" s="18"/>
      <c r="B240" s="35" t="s">
        <v>125</v>
      </c>
      <c r="C240" s="32" t="s">
        <v>2</v>
      </c>
      <c r="D240" s="17" t="s">
        <v>90</v>
      </c>
      <c r="E240" s="17" t="s">
        <v>65</v>
      </c>
      <c r="F240" s="659" t="s">
        <v>753</v>
      </c>
      <c r="G240" s="660" t="s">
        <v>91</v>
      </c>
      <c r="H240" s="660" t="s">
        <v>83</v>
      </c>
      <c r="I240" s="661" t="s">
        <v>754</v>
      </c>
      <c r="J240" s="17" t="s">
        <v>126</v>
      </c>
      <c r="K240" s="33"/>
      <c r="L240" s="33">
        <f>M240-K240</f>
        <v>36.4</v>
      </c>
      <c r="M240" s="33">
        <v>36.4</v>
      </c>
    </row>
    <row r="241" spans="1:13" s="152" customFormat="1" ht="72" x14ac:dyDescent="0.35">
      <c r="A241" s="18"/>
      <c r="B241" s="35" t="s">
        <v>764</v>
      </c>
      <c r="C241" s="32" t="s">
        <v>2</v>
      </c>
      <c r="D241" s="17" t="s">
        <v>90</v>
      </c>
      <c r="E241" s="17" t="s">
        <v>65</v>
      </c>
      <c r="F241" s="659" t="s">
        <v>753</v>
      </c>
      <c r="G241" s="660" t="s">
        <v>91</v>
      </c>
      <c r="H241" s="660" t="s">
        <v>226</v>
      </c>
      <c r="I241" s="661" t="s">
        <v>46</v>
      </c>
      <c r="J241" s="17"/>
      <c r="K241" s="33">
        <f>K242</f>
        <v>0</v>
      </c>
      <c r="L241" s="33">
        <f t="shared" ref="L241:M242" si="45">L242</f>
        <v>56.6</v>
      </c>
      <c r="M241" s="33">
        <f t="shared" si="45"/>
        <v>56.6</v>
      </c>
    </row>
    <row r="242" spans="1:13" s="152" customFormat="1" ht="72" x14ac:dyDescent="0.35">
      <c r="A242" s="18"/>
      <c r="B242" s="35" t="s">
        <v>758</v>
      </c>
      <c r="C242" s="32" t="s">
        <v>2</v>
      </c>
      <c r="D242" s="17" t="s">
        <v>90</v>
      </c>
      <c r="E242" s="17" t="s">
        <v>65</v>
      </c>
      <c r="F242" s="659" t="s">
        <v>753</v>
      </c>
      <c r="G242" s="660" t="s">
        <v>91</v>
      </c>
      <c r="H242" s="660" t="s">
        <v>226</v>
      </c>
      <c r="I242" s="661" t="s">
        <v>754</v>
      </c>
      <c r="J242" s="17"/>
      <c r="K242" s="33">
        <f>K243</f>
        <v>0</v>
      </c>
      <c r="L242" s="33">
        <f t="shared" si="45"/>
        <v>56.6</v>
      </c>
      <c r="M242" s="33">
        <f t="shared" si="45"/>
        <v>56.6</v>
      </c>
    </row>
    <row r="243" spans="1:13" s="152" customFormat="1" ht="18" x14ac:dyDescent="0.35">
      <c r="A243" s="18"/>
      <c r="B243" s="35" t="s">
        <v>125</v>
      </c>
      <c r="C243" s="32" t="s">
        <v>2</v>
      </c>
      <c r="D243" s="17" t="s">
        <v>90</v>
      </c>
      <c r="E243" s="17" t="s">
        <v>65</v>
      </c>
      <c r="F243" s="659" t="s">
        <v>753</v>
      </c>
      <c r="G243" s="660" t="s">
        <v>91</v>
      </c>
      <c r="H243" s="660" t="s">
        <v>226</v>
      </c>
      <c r="I243" s="661" t="s">
        <v>754</v>
      </c>
      <c r="J243" s="17" t="s">
        <v>126</v>
      </c>
      <c r="K243" s="33"/>
      <c r="L243" s="33">
        <f>M243-K243</f>
        <v>56.6</v>
      </c>
      <c r="M243" s="33">
        <v>56.6</v>
      </c>
    </row>
    <row r="244" spans="1:13" s="152" customFormat="1" ht="36" x14ac:dyDescent="0.35">
      <c r="A244" s="18"/>
      <c r="B244" s="35" t="s">
        <v>765</v>
      </c>
      <c r="C244" s="32" t="s">
        <v>2</v>
      </c>
      <c r="D244" s="17" t="s">
        <v>90</v>
      </c>
      <c r="E244" s="17" t="s">
        <v>65</v>
      </c>
      <c r="F244" s="659" t="s">
        <v>753</v>
      </c>
      <c r="G244" s="660" t="s">
        <v>91</v>
      </c>
      <c r="H244" s="660" t="s">
        <v>228</v>
      </c>
      <c r="I244" s="661" t="s">
        <v>46</v>
      </c>
      <c r="J244" s="17"/>
      <c r="K244" s="33">
        <f>K245</f>
        <v>0</v>
      </c>
      <c r="L244" s="33">
        <f t="shared" ref="L244:M245" si="46">L245</f>
        <v>3265.41</v>
      </c>
      <c r="M244" s="33">
        <f t="shared" si="46"/>
        <v>3265.41</v>
      </c>
    </row>
    <row r="245" spans="1:13" s="152" customFormat="1" ht="72" x14ac:dyDescent="0.35">
      <c r="A245" s="18"/>
      <c r="B245" s="35" t="s">
        <v>758</v>
      </c>
      <c r="C245" s="32" t="s">
        <v>2</v>
      </c>
      <c r="D245" s="17" t="s">
        <v>90</v>
      </c>
      <c r="E245" s="17" t="s">
        <v>65</v>
      </c>
      <c r="F245" s="659" t="s">
        <v>753</v>
      </c>
      <c r="G245" s="660" t="s">
        <v>91</v>
      </c>
      <c r="H245" s="660" t="s">
        <v>228</v>
      </c>
      <c r="I245" s="661" t="s">
        <v>754</v>
      </c>
      <c r="J245" s="17"/>
      <c r="K245" s="33">
        <f>K246</f>
        <v>0</v>
      </c>
      <c r="L245" s="33">
        <f t="shared" si="46"/>
        <v>3265.41</v>
      </c>
      <c r="M245" s="33">
        <f t="shared" si="46"/>
        <v>3265.41</v>
      </c>
    </row>
    <row r="246" spans="1:13" s="152" customFormat="1" ht="18" x14ac:dyDescent="0.35">
      <c r="A246" s="18"/>
      <c r="B246" s="35" t="s">
        <v>125</v>
      </c>
      <c r="C246" s="32" t="s">
        <v>2</v>
      </c>
      <c r="D246" s="17" t="s">
        <v>90</v>
      </c>
      <c r="E246" s="17" t="s">
        <v>65</v>
      </c>
      <c r="F246" s="659" t="s">
        <v>753</v>
      </c>
      <c r="G246" s="660" t="s">
        <v>91</v>
      </c>
      <c r="H246" s="660" t="s">
        <v>228</v>
      </c>
      <c r="I246" s="661" t="s">
        <v>754</v>
      </c>
      <c r="J246" s="17" t="s">
        <v>126</v>
      </c>
      <c r="K246" s="33"/>
      <c r="L246" s="33">
        <f>M246-K246</f>
        <v>3265.41</v>
      </c>
      <c r="M246" s="33">
        <v>3265.41</v>
      </c>
    </row>
    <row r="247" spans="1:13" s="152" customFormat="1" ht="54" x14ac:dyDescent="0.35">
      <c r="A247" s="18"/>
      <c r="B247" s="35" t="s">
        <v>794</v>
      </c>
      <c r="C247" s="32" t="s">
        <v>2</v>
      </c>
      <c r="D247" s="17" t="s">
        <v>90</v>
      </c>
      <c r="E247" s="17" t="s">
        <v>65</v>
      </c>
      <c r="F247" s="659" t="s">
        <v>753</v>
      </c>
      <c r="G247" s="660" t="s">
        <v>91</v>
      </c>
      <c r="H247" s="660" t="s">
        <v>81</v>
      </c>
      <c r="I247" s="661" t="s">
        <v>46</v>
      </c>
      <c r="J247" s="17"/>
      <c r="K247" s="33"/>
      <c r="L247" s="33">
        <f>L248</f>
        <v>1200</v>
      </c>
      <c r="M247" s="33">
        <f>M248</f>
        <v>1200</v>
      </c>
    </row>
    <row r="248" spans="1:13" s="152" customFormat="1" ht="72" x14ac:dyDescent="0.35">
      <c r="A248" s="18"/>
      <c r="B248" s="35" t="s">
        <v>758</v>
      </c>
      <c r="C248" s="32" t="s">
        <v>2</v>
      </c>
      <c r="D248" s="17" t="s">
        <v>90</v>
      </c>
      <c r="E248" s="17" t="s">
        <v>65</v>
      </c>
      <c r="F248" s="659" t="s">
        <v>753</v>
      </c>
      <c r="G248" s="660" t="s">
        <v>91</v>
      </c>
      <c r="H248" s="660" t="s">
        <v>81</v>
      </c>
      <c r="I248" s="661" t="s">
        <v>754</v>
      </c>
      <c r="J248" s="17"/>
      <c r="K248" s="33"/>
      <c r="L248" s="33">
        <f>L249</f>
        <v>1200</v>
      </c>
      <c r="M248" s="33">
        <f>M249</f>
        <v>1200</v>
      </c>
    </row>
    <row r="249" spans="1:13" s="152" customFormat="1" ht="18" x14ac:dyDescent="0.35">
      <c r="A249" s="18"/>
      <c r="B249" s="35" t="s">
        <v>125</v>
      </c>
      <c r="C249" s="32" t="s">
        <v>2</v>
      </c>
      <c r="D249" s="17" t="s">
        <v>90</v>
      </c>
      <c r="E249" s="17" t="s">
        <v>65</v>
      </c>
      <c r="F249" s="659" t="s">
        <v>753</v>
      </c>
      <c r="G249" s="660" t="s">
        <v>91</v>
      </c>
      <c r="H249" s="660" t="s">
        <v>81</v>
      </c>
      <c r="I249" s="661" t="s">
        <v>754</v>
      </c>
      <c r="J249" s="17" t="s">
        <v>126</v>
      </c>
      <c r="K249" s="33"/>
      <c r="L249" s="33">
        <f>M249-K249</f>
        <v>1200</v>
      </c>
      <c r="M249" s="33">
        <v>1200</v>
      </c>
    </row>
    <row r="250" spans="1:13" ht="18.75" customHeight="1" x14ac:dyDescent="0.35">
      <c r="A250" s="18"/>
      <c r="B250" s="31"/>
      <c r="C250" s="32"/>
      <c r="D250" s="17"/>
      <c r="E250" s="17"/>
      <c r="F250" s="659"/>
      <c r="G250" s="660"/>
      <c r="H250" s="660"/>
      <c r="I250" s="661"/>
      <c r="J250" s="362"/>
      <c r="K250" s="33"/>
      <c r="L250" s="33"/>
      <c r="M250" s="33"/>
    </row>
    <row r="251" spans="1:13" ht="56.25" customHeight="1" x14ac:dyDescent="0.3">
      <c r="A251" s="151">
        <v>2</v>
      </c>
      <c r="B251" s="19" t="s">
        <v>3</v>
      </c>
      <c r="C251" s="26" t="s">
        <v>305</v>
      </c>
      <c r="D251" s="27"/>
      <c r="E251" s="27"/>
      <c r="F251" s="28"/>
      <c r="G251" s="29"/>
      <c r="H251" s="29"/>
      <c r="I251" s="30"/>
      <c r="J251" s="27"/>
      <c r="K251" s="47">
        <f>K252+K280+K273</f>
        <v>39625.4</v>
      </c>
      <c r="L251" s="47">
        <f>L252+L280+L273</f>
        <v>1285</v>
      </c>
      <c r="M251" s="47">
        <f>M252+M280+M273</f>
        <v>40910.400000000001</v>
      </c>
    </row>
    <row r="252" spans="1:13" s="156" customFormat="1" ht="18.75" customHeight="1" x14ac:dyDescent="0.35">
      <c r="A252" s="18"/>
      <c r="B252" s="31" t="s">
        <v>38</v>
      </c>
      <c r="C252" s="32" t="s">
        <v>305</v>
      </c>
      <c r="D252" s="17" t="s">
        <v>39</v>
      </c>
      <c r="E252" s="17"/>
      <c r="F252" s="659"/>
      <c r="G252" s="660"/>
      <c r="H252" s="660"/>
      <c r="I252" s="661"/>
      <c r="J252" s="17"/>
      <c r="K252" s="33">
        <f>K253+K264</f>
        <v>32526.6</v>
      </c>
      <c r="L252" s="33">
        <f>L253+L264</f>
        <v>0</v>
      </c>
      <c r="M252" s="33">
        <f>M253+M264</f>
        <v>32526.6</v>
      </c>
    </row>
    <row r="253" spans="1:13" s="157" customFormat="1" ht="70.2" customHeight="1" x14ac:dyDescent="0.35">
      <c r="A253" s="18"/>
      <c r="B253" s="31" t="s">
        <v>131</v>
      </c>
      <c r="C253" s="32" t="s">
        <v>305</v>
      </c>
      <c r="D253" s="17" t="s">
        <v>39</v>
      </c>
      <c r="E253" s="17" t="s">
        <v>83</v>
      </c>
      <c r="F253" s="659"/>
      <c r="G253" s="660"/>
      <c r="H253" s="660"/>
      <c r="I253" s="661"/>
      <c r="J253" s="17"/>
      <c r="K253" s="33">
        <f t="shared" ref="K253:M256" si="47">K254</f>
        <v>29218.5</v>
      </c>
      <c r="L253" s="33">
        <f t="shared" si="47"/>
        <v>0</v>
      </c>
      <c r="M253" s="33">
        <f t="shared" si="47"/>
        <v>29218.5</v>
      </c>
    </row>
    <row r="254" spans="1:13" s="152" customFormat="1" ht="59.25" customHeight="1" x14ac:dyDescent="0.35">
      <c r="A254" s="18"/>
      <c r="B254" s="31" t="s">
        <v>225</v>
      </c>
      <c r="C254" s="32" t="s">
        <v>305</v>
      </c>
      <c r="D254" s="17" t="s">
        <v>39</v>
      </c>
      <c r="E254" s="17" t="s">
        <v>83</v>
      </c>
      <c r="F254" s="659" t="s">
        <v>226</v>
      </c>
      <c r="G254" s="660" t="s">
        <v>44</v>
      </c>
      <c r="H254" s="660" t="s">
        <v>45</v>
      </c>
      <c r="I254" s="661" t="s">
        <v>46</v>
      </c>
      <c r="J254" s="17"/>
      <c r="K254" s="33">
        <f t="shared" si="47"/>
        <v>29218.5</v>
      </c>
      <c r="L254" s="33">
        <f t="shared" si="47"/>
        <v>0</v>
      </c>
      <c r="M254" s="33">
        <f t="shared" si="47"/>
        <v>29218.5</v>
      </c>
    </row>
    <row r="255" spans="1:13" s="152" customFormat="1" ht="37.5" customHeight="1" x14ac:dyDescent="0.35">
      <c r="A255" s="18"/>
      <c r="B255" s="31" t="s">
        <v>345</v>
      </c>
      <c r="C255" s="32" t="s">
        <v>305</v>
      </c>
      <c r="D255" s="17" t="s">
        <v>39</v>
      </c>
      <c r="E255" s="17" t="s">
        <v>83</v>
      </c>
      <c r="F255" s="39" t="s">
        <v>226</v>
      </c>
      <c r="G255" s="40" t="s">
        <v>47</v>
      </c>
      <c r="H255" s="660" t="s">
        <v>45</v>
      </c>
      <c r="I255" s="661" t="s">
        <v>46</v>
      </c>
      <c r="J255" s="17"/>
      <c r="K255" s="33">
        <f t="shared" ref="K255" si="48">K256+K261</f>
        <v>29218.5</v>
      </c>
      <c r="L255" s="33">
        <f t="shared" ref="L255" si="49">L256+L261</f>
        <v>0</v>
      </c>
      <c r="M255" s="33">
        <f t="shared" ref="M255" si="50">M256+M261</f>
        <v>29218.5</v>
      </c>
    </row>
    <row r="256" spans="1:13" s="152" customFormat="1" ht="56.25" customHeight="1" x14ac:dyDescent="0.35">
      <c r="A256" s="18"/>
      <c r="B256" s="31" t="s">
        <v>306</v>
      </c>
      <c r="C256" s="32" t="s">
        <v>305</v>
      </c>
      <c r="D256" s="17" t="s">
        <v>39</v>
      </c>
      <c r="E256" s="17" t="s">
        <v>83</v>
      </c>
      <c r="F256" s="39" t="s">
        <v>226</v>
      </c>
      <c r="G256" s="40" t="s">
        <v>47</v>
      </c>
      <c r="H256" s="660" t="s">
        <v>39</v>
      </c>
      <c r="I256" s="661" t="s">
        <v>46</v>
      </c>
      <c r="J256" s="17"/>
      <c r="K256" s="33">
        <f t="shared" si="47"/>
        <v>28483</v>
      </c>
      <c r="L256" s="33">
        <f t="shared" si="47"/>
        <v>0</v>
      </c>
      <c r="M256" s="33">
        <f t="shared" si="47"/>
        <v>28483</v>
      </c>
    </row>
    <row r="257" spans="1:13" s="152" customFormat="1" ht="37.5" customHeight="1" x14ac:dyDescent="0.35">
      <c r="A257" s="18"/>
      <c r="B257" s="31" t="s">
        <v>49</v>
      </c>
      <c r="C257" s="32" t="s">
        <v>305</v>
      </c>
      <c r="D257" s="17" t="s">
        <v>39</v>
      </c>
      <c r="E257" s="17" t="s">
        <v>83</v>
      </c>
      <c r="F257" s="39" t="s">
        <v>226</v>
      </c>
      <c r="G257" s="40" t="s">
        <v>47</v>
      </c>
      <c r="H257" s="660" t="s">
        <v>39</v>
      </c>
      <c r="I257" s="661" t="s">
        <v>50</v>
      </c>
      <c r="J257" s="17"/>
      <c r="K257" s="33">
        <f>SUM(K258:K260)</f>
        <v>28483</v>
      </c>
      <c r="L257" s="33">
        <f>SUM(L258:L260)</f>
        <v>0</v>
      </c>
      <c r="M257" s="33">
        <f>SUM(M258:M260)</f>
        <v>28483</v>
      </c>
    </row>
    <row r="258" spans="1:13" s="152" customFormat="1" ht="112.5" customHeight="1" x14ac:dyDescent="0.35">
      <c r="A258" s="18"/>
      <c r="B258" s="31" t="s">
        <v>51</v>
      </c>
      <c r="C258" s="32" t="s">
        <v>305</v>
      </c>
      <c r="D258" s="17" t="s">
        <v>39</v>
      </c>
      <c r="E258" s="17" t="s">
        <v>83</v>
      </c>
      <c r="F258" s="39" t="s">
        <v>226</v>
      </c>
      <c r="G258" s="40" t="s">
        <v>47</v>
      </c>
      <c r="H258" s="660" t="s">
        <v>39</v>
      </c>
      <c r="I258" s="661" t="s">
        <v>50</v>
      </c>
      <c r="J258" s="17" t="s">
        <v>52</v>
      </c>
      <c r="K258" s="33">
        <f>23639.5+4127.8</f>
        <v>27767.3</v>
      </c>
      <c r="L258" s="33">
        <f>M258-K258</f>
        <v>0</v>
      </c>
      <c r="M258" s="33">
        <f>23639.5+4127.8</f>
        <v>27767.3</v>
      </c>
    </row>
    <row r="259" spans="1:13" s="152" customFormat="1" ht="56.25" customHeight="1" x14ac:dyDescent="0.35">
      <c r="A259" s="18"/>
      <c r="B259" s="31" t="s">
        <v>57</v>
      </c>
      <c r="C259" s="32" t="s">
        <v>305</v>
      </c>
      <c r="D259" s="17" t="s">
        <v>39</v>
      </c>
      <c r="E259" s="17" t="s">
        <v>83</v>
      </c>
      <c r="F259" s="39" t="s">
        <v>226</v>
      </c>
      <c r="G259" s="40" t="s">
        <v>47</v>
      </c>
      <c r="H259" s="660" t="s">
        <v>39</v>
      </c>
      <c r="I259" s="661" t="s">
        <v>50</v>
      </c>
      <c r="J259" s="17" t="s">
        <v>58</v>
      </c>
      <c r="K259" s="33">
        <f>809.7-98.8</f>
        <v>710.90000000000009</v>
      </c>
      <c r="L259" s="33">
        <f>M259-K259</f>
        <v>0</v>
      </c>
      <c r="M259" s="33">
        <f>809.7-98.8</f>
        <v>710.90000000000009</v>
      </c>
    </row>
    <row r="260" spans="1:13" s="157" customFormat="1" ht="18.75" customHeight="1" x14ac:dyDescent="0.35">
      <c r="A260" s="18"/>
      <c r="B260" s="31" t="s">
        <v>59</v>
      </c>
      <c r="C260" s="32" t="s">
        <v>305</v>
      </c>
      <c r="D260" s="17" t="s">
        <v>39</v>
      </c>
      <c r="E260" s="17" t="s">
        <v>83</v>
      </c>
      <c r="F260" s="39" t="s">
        <v>226</v>
      </c>
      <c r="G260" s="40" t="s">
        <v>47</v>
      </c>
      <c r="H260" s="660" t="s">
        <v>39</v>
      </c>
      <c r="I260" s="661" t="s">
        <v>50</v>
      </c>
      <c r="J260" s="17" t="s">
        <v>60</v>
      </c>
      <c r="K260" s="33">
        <v>4.8</v>
      </c>
      <c r="L260" s="33">
        <f>M260-K260</f>
        <v>0</v>
      </c>
      <c r="M260" s="33">
        <v>4.8</v>
      </c>
    </row>
    <row r="261" spans="1:13" s="157" customFormat="1" ht="58.5" customHeight="1" x14ac:dyDescent="0.35">
      <c r="A261" s="18"/>
      <c r="B261" s="31" t="s">
        <v>328</v>
      </c>
      <c r="C261" s="32" t="s">
        <v>305</v>
      </c>
      <c r="D261" s="17" t="s">
        <v>39</v>
      </c>
      <c r="E261" s="17" t="s">
        <v>83</v>
      </c>
      <c r="F261" s="39" t="s">
        <v>226</v>
      </c>
      <c r="G261" s="40" t="s">
        <v>47</v>
      </c>
      <c r="H261" s="660" t="s">
        <v>54</v>
      </c>
      <c r="I261" s="661" t="s">
        <v>46</v>
      </c>
      <c r="J261" s="17"/>
      <c r="K261" s="33">
        <f t="shared" ref="K261:M262" si="51">K262</f>
        <v>735.5</v>
      </c>
      <c r="L261" s="33">
        <f t="shared" si="51"/>
        <v>0</v>
      </c>
      <c r="M261" s="33">
        <f t="shared" si="51"/>
        <v>735.5</v>
      </c>
    </row>
    <row r="262" spans="1:13" s="14" customFormat="1" ht="37.5" customHeight="1" x14ac:dyDescent="0.35">
      <c r="A262" s="18"/>
      <c r="B262" s="31" t="s">
        <v>384</v>
      </c>
      <c r="C262" s="32" t="s">
        <v>305</v>
      </c>
      <c r="D262" s="17" t="s">
        <v>39</v>
      </c>
      <c r="E262" s="17" t="s">
        <v>83</v>
      </c>
      <c r="F262" s="39" t="s">
        <v>226</v>
      </c>
      <c r="G262" s="40" t="s">
        <v>47</v>
      </c>
      <c r="H262" s="660" t="s">
        <v>54</v>
      </c>
      <c r="I262" s="661" t="s">
        <v>383</v>
      </c>
      <c r="J262" s="17"/>
      <c r="K262" s="33">
        <f t="shared" si="51"/>
        <v>735.5</v>
      </c>
      <c r="L262" s="33">
        <f t="shared" si="51"/>
        <v>0</v>
      </c>
      <c r="M262" s="33">
        <f t="shared" si="51"/>
        <v>735.5</v>
      </c>
    </row>
    <row r="263" spans="1:13" s="14" customFormat="1" ht="113.25" customHeight="1" x14ac:dyDescent="0.35">
      <c r="A263" s="18"/>
      <c r="B263" s="31" t="s">
        <v>51</v>
      </c>
      <c r="C263" s="32" t="s">
        <v>305</v>
      </c>
      <c r="D263" s="17" t="s">
        <v>39</v>
      </c>
      <c r="E263" s="17" t="s">
        <v>83</v>
      </c>
      <c r="F263" s="39" t="s">
        <v>226</v>
      </c>
      <c r="G263" s="40" t="s">
        <v>47</v>
      </c>
      <c r="H263" s="660" t="s">
        <v>54</v>
      </c>
      <c r="I263" s="661" t="s">
        <v>383</v>
      </c>
      <c r="J263" s="17" t="s">
        <v>52</v>
      </c>
      <c r="K263" s="33">
        <v>735.5</v>
      </c>
      <c r="L263" s="33">
        <f>M263-K263</f>
        <v>0</v>
      </c>
      <c r="M263" s="33">
        <v>735.5</v>
      </c>
    </row>
    <row r="264" spans="1:13" s="152" customFormat="1" ht="18.75" customHeight="1" x14ac:dyDescent="0.35">
      <c r="A264" s="18"/>
      <c r="B264" s="31" t="s">
        <v>72</v>
      </c>
      <c r="C264" s="32" t="s">
        <v>305</v>
      </c>
      <c r="D264" s="17" t="s">
        <v>39</v>
      </c>
      <c r="E264" s="17" t="s">
        <v>73</v>
      </c>
      <c r="F264" s="39"/>
      <c r="G264" s="40"/>
      <c r="H264" s="660"/>
      <c r="I264" s="661"/>
      <c r="J264" s="17"/>
      <c r="K264" s="33">
        <f t="shared" ref="K264:M268" si="52">K265</f>
        <v>3308.1</v>
      </c>
      <c r="L264" s="33">
        <f t="shared" si="52"/>
        <v>0</v>
      </c>
      <c r="M264" s="33">
        <f t="shared" si="52"/>
        <v>3308.1</v>
      </c>
    </row>
    <row r="265" spans="1:13" s="152" customFormat="1" ht="60.75" customHeight="1" x14ac:dyDescent="0.35">
      <c r="A265" s="18"/>
      <c r="B265" s="31" t="s">
        <v>225</v>
      </c>
      <c r="C265" s="32" t="s">
        <v>305</v>
      </c>
      <c r="D265" s="17" t="s">
        <v>39</v>
      </c>
      <c r="E265" s="17" t="s">
        <v>73</v>
      </c>
      <c r="F265" s="39" t="s">
        <v>226</v>
      </c>
      <c r="G265" s="40" t="s">
        <v>44</v>
      </c>
      <c r="H265" s="660" t="s">
        <v>45</v>
      </c>
      <c r="I265" s="661" t="s">
        <v>46</v>
      </c>
      <c r="J265" s="17"/>
      <c r="K265" s="33">
        <f t="shared" si="52"/>
        <v>3308.1</v>
      </c>
      <c r="L265" s="33">
        <f t="shared" si="52"/>
        <v>0</v>
      </c>
      <c r="M265" s="33">
        <f t="shared" si="52"/>
        <v>3308.1</v>
      </c>
    </row>
    <row r="266" spans="1:13" s="14" customFormat="1" ht="37.5" customHeight="1" x14ac:dyDescent="0.35">
      <c r="A266" s="18"/>
      <c r="B266" s="31" t="s">
        <v>345</v>
      </c>
      <c r="C266" s="32" t="s">
        <v>305</v>
      </c>
      <c r="D266" s="17" t="s">
        <v>39</v>
      </c>
      <c r="E266" s="17" t="s">
        <v>73</v>
      </c>
      <c r="F266" s="39" t="s">
        <v>226</v>
      </c>
      <c r="G266" s="40" t="s">
        <v>47</v>
      </c>
      <c r="H266" s="660" t="s">
        <v>45</v>
      </c>
      <c r="I266" s="661" t="s">
        <v>46</v>
      </c>
      <c r="J266" s="17"/>
      <c r="K266" s="33">
        <f>K267+K270</f>
        <v>3308.1</v>
      </c>
      <c r="L266" s="33">
        <f>L267+L270</f>
        <v>0</v>
      </c>
      <c r="M266" s="33">
        <f>M267+M270</f>
        <v>3308.1</v>
      </c>
    </row>
    <row r="267" spans="1:13" s="152" customFormat="1" ht="37.5" customHeight="1" x14ac:dyDescent="0.35">
      <c r="A267" s="18"/>
      <c r="B267" s="31" t="s">
        <v>360</v>
      </c>
      <c r="C267" s="32" t="s">
        <v>305</v>
      </c>
      <c r="D267" s="17" t="s">
        <v>39</v>
      </c>
      <c r="E267" s="17" t="s">
        <v>73</v>
      </c>
      <c r="F267" s="39" t="s">
        <v>226</v>
      </c>
      <c r="G267" s="40" t="s">
        <v>47</v>
      </c>
      <c r="H267" s="660" t="s">
        <v>65</v>
      </c>
      <c r="I267" s="661" t="s">
        <v>46</v>
      </c>
      <c r="J267" s="17"/>
      <c r="K267" s="33">
        <f>K268</f>
        <v>3290.9</v>
      </c>
      <c r="L267" s="33">
        <f>L268</f>
        <v>0</v>
      </c>
      <c r="M267" s="33">
        <f>M268</f>
        <v>3290.9</v>
      </c>
    </row>
    <row r="268" spans="1:13" s="157" customFormat="1" ht="60" customHeight="1" x14ac:dyDescent="0.35">
      <c r="A268" s="18"/>
      <c r="B268" s="31" t="s">
        <v>361</v>
      </c>
      <c r="C268" s="32" t="s">
        <v>305</v>
      </c>
      <c r="D268" s="17" t="s">
        <v>39</v>
      </c>
      <c r="E268" s="17" t="s">
        <v>73</v>
      </c>
      <c r="F268" s="39" t="s">
        <v>226</v>
      </c>
      <c r="G268" s="40" t="s">
        <v>47</v>
      </c>
      <c r="H268" s="660" t="s">
        <v>65</v>
      </c>
      <c r="I268" s="661" t="s">
        <v>107</v>
      </c>
      <c r="J268" s="17"/>
      <c r="K268" s="33">
        <f t="shared" si="52"/>
        <v>3290.9</v>
      </c>
      <c r="L268" s="33">
        <f t="shared" si="52"/>
        <v>0</v>
      </c>
      <c r="M268" s="33">
        <f t="shared" si="52"/>
        <v>3290.9</v>
      </c>
    </row>
    <row r="269" spans="1:13" s="157" customFormat="1" ht="56.25" customHeight="1" x14ac:dyDescent="0.35">
      <c r="A269" s="18"/>
      <c r="B269" s="31" t="s">
        <v>57</v>
      </c>
      <c r="C269" s="32" t="s">
        <v>305</v>
      </c>
      <c r="D269" s="17" t="s">
        <v>39</v>
      </c>
      <c r="E269" s="17" t="s">
        <v>73</v>
      </c>
      <c r="F269" s="39" t="s">
        <v>226</v>
      </c>
      <c r="G269" s="40" t="s">
        <v>47</v>
      </c>
      <c r="H269" s="660" t="s">
        <v>65</v>
      </c>
      <c r="I269" s="661" t="s">
        <v>107</v>
      </c>
      <c r="J269" s="17" t="s">
        <v>58</v>
      </c>
      <c r="K269" s="33">
        <v>3290.9</v>
      </c>
      <c r="L269" s="33">
        <f>M269-K269</f>
        <v>0</v>
      </c>
      <c r="M269" s="33">
        <v>3290.9</v>
      </c>
    </row>
    <row r="270" spans="1:13" s="157" customFormat="1" ht="33.75" customHeight="1" x14ac:dyDescent="0.35">
      <c r="A270" s="18"/>
      <c r="B270" s="31" t="s">
        <v>544</v>
      </c>
      <c r="C270" s="32" t="s">
        <v>305</v>
      </c>
      <c r="D270" s="17" t="s">
        <v>39</v>
      </c>
      <c r="E270" s="17" t="s">
        <v>73</v>
      </c>
      <c r="F270" s="39" t="s">
        <v>226</v>
      </c>
      <c r="G270" s="40" t="s">
        <v>47</v>
      </c>
      <c r="H270" s="660" t="s">
        <v>67</v>
      </c>
      <c r="I270" s="661" t="s">
        <v>46</v>
      </c>
      <c r="J270" s="17"/>
      <c r="K270" s="33">
        <f t="shared" ref="K270:M271" si="53">K271</f>
        <v>17.2</v>
      </c>
      <c r="L270" s="33">
        <f t="shared" si="53"/>
        <v>0</v>
      </c>
      <c r="M270" s="33">
        <f t="shared" si="53"/>
        <v>17.2</v>
      </c>
    </row>
    <row r="271" spans="1:13" s="157" customFormat="1" ht="23.4" customHeight="1" x14ac:dyDescent="0.35">
      <c r="A271" s="18"/>
      <c r="B271" s="31" t="s">
        <v>542</v>
      </c>
      <c r="C271" s="32" t="s">
        <v>305</v>
      </c>
      <c r="D271" s="17" t="s">
        <v>39</v>
      </c>
      <c r="E271" s="17" t="s">
        <v>73</v>
      </c>
      <c r="F271" s="39" t="s">
        <v>226</v>
      </c>
      <c r="G271" s="40" t="s">
        <v>47</v>
      </c>
      <c r="H271" s="660" t="s">
        <v>67</v>
      </c>
      <c r="I271" s="661" t="s">
        <v>543</v>
      </c>
      <c r="J271" s="17"/>
      <c r="K271" s="33">
        <f t="shared" si="53"/>
        <v>17.2</v>
      </c>
      <c r="L271" s="33">
        <f t="shared" si="53"/>
        <v>0</v>
      </c>
      <c r="M271" s="33">
        <f t="shared" si="53"/>
        <v>17.2</v>
      </c>
    </row>
    <row r="272" spans="1:13" s="157" customFormat="1" ht="56.25" customHeight="1" x14ac:dyDescent="0.35">
      <c r="A272" s="18"/>
      <c r="B272" s="31" t="s">
        <v>57</v>
      </c>
      <c r="C272" s="32" t="s">
        <v>305</v>
      </c>
      <c r="D272" s="17" t="s">
        <v>39</v>
      </c>
      <c r="E272" s="17" t="s">
        <v>73</v>
      </c>
      <c r="F272" s="39" t="s">
        <v>226</v>
      </c>
      <c r="G272" s="40" t="s">
        <v>47</v>
      </c>
      <c r="H272" s="660" t="s">
        <v>67</v>
      </c>
      <c r="I272" s="661" t="s">
        <v>543</v>
      </c>
      <c r="J272" s="17" t="s">
        <v>58</v>
      </c>
      <c r="K272" s="33">
        <v>17.2</v>
      </c>
      <c r="L272" s="33">
        <f>M272-K272</f>
        <v>0</v>
      </c>
      <c r="M272" s="33">
        <v>17.2</v>
      </c>
    </row>
    <row r="273" spans="1:13" s="157" customFormat="1" ht="18" x14ac:dyDescent="0.35">
      <c r="A273" s="18"/>
      <c r="B273" s="31" t="s">
        <v>181</v>
      </c>
      <c r="C273" s="32" t="s">
        <v>305</v>
      </c>
      <c r="D273" s="17" t="s">
        <v>226</v>
      </c>
      <c r="E273" s="17"/>
      <c r="F273" s="39"/>
      <c r="G273" s="40"/>
      <c r="H273" s="660"/>
      <c r="I273" s="661"/>
      <c r="J273" s="17"/>
      <c r="K273" s="33">
        <f t="shared" ref="K273:M278" si="54">K274</f>
        <v>98.8</v>
      </c>
      <c r="L273" s="33">
        <f t="shared" si="54"/>
        <v>0</v>
      </c>
      <c r="M273" s="33">
        <f t="shared" si="54"/>
        <v>98.8</v>
      </c>
    </row>
    <row r="274" spans="1:13" s="157" customFormat="1" ht="36" x14ac:dyDescent="0.35">
      <c r="A274" s="18"/>
      <c r="B274" s="31" t="s">
        <v>699</v>
      </c>
      <c r="C274" s="32" t="s">
        <v>305</v>
      </c>
      <c r="D274" s="17" t="s">
        <v>226</v>
      </c>
      <c r="E274" s="17" t="s">
        <v>67</v>
      </c>
      <c r="F274" s="39"/>
      <c r="G274" s="40"/>
      <c r="H274" s="660"/>
      <c r="I274" s="661"/>
      <c r="J274" s="17"/>
      <c r="K274" s="33">
        <f t="shared" si="54"/>
        <v>98.8</v>
      </c>
      <c r="L274" s="33">
        <f t="shared" si="54"/>
        <v>0</v>
      </c>
      <c r="M274" s="33">
        <f t="shared" si="54"/>
        <v>98.8</v>
      </c>
    </row>
    <row r="275" spans="1:13" s="157" customFormat="1" ht="56.25" customHeight="1" x14ac:dyDescent="0.35">
      <c r="A275" s="18"/>
      <c r="B275" s="31" t="s">
        <v>225</v>
      </c>
      <c r="C275" s="32" t="s">
        <v>305</v>
      </c>
      <c r="D275" s="17" t="s">
        <v>226</v>
      </c>
      <c r="E275" s="17" t="s">
        <v>67</v>
      </c>
      <c r="F275" s="39" t="s">
        <v>226</v>
      </c>
      <c r="G275" s="40" t="s">
        <v>44</v>
      </c>
      <c r="H275" s="660" t="s">
        <v>45</v>
      </c>
      <c r="I275" s="661" t="s">
        <v>46</v>
      </c>
      <c r="J275" s="17"/>
      <c r="K275" s="33">
        <f t="shared" si="54"/>
        <v>98.8</v>
      </c>
      <c r="L275" s="33">
        <f t="shared" si="54"/>
        <v>0</v>
      </c>
      <c r="M275" s="33">
        <f t="shared" si="54"/>
        <v>98.8</v>
      </c>
    </row>
    <row r="276" spans="1:13" s="157" customFormat="1" ht="36" x14ac:dyDescent="0.35">
      <c r="A276" s="18"/>
      <c r="B276" s="31" t="s">
        <v>345</v>
      </c>
      <c r="C276" s="32" t="s">
        <v>305</v>
      </c>
      <c r="D276" s="17" t="s">
        <v>226</v>
      </c>
      <c r="E276" s="17" t="s">
        <v>67</v>
      </c>
      <c r="F276" s="39" t="s">
        <v>226</v>
      </c>
      <c r="G276" s="40" t="s">
        <v>47</v>
      </c>
      <c r="H276" s="660" t="s">
        <v>45</v>
      </c>
      <c r="I276" s="661" t="s">
        <v>46</v>
      </c>
      <c r="J276" s="17"/>
      <c r="K276" s="33">
        <f t="shared" si="54"/>
        <v>98.8</v>
      </c>
      <c r="L276" s="33">
        <f t="shared" si="54"/>
        <v>0</v>
      </c>
      <c r="M276" s="33">
        <f t="shared" si="54"/>
        <v>98.8</v>
      </c>
    </row>
    <row r="277" spans="1:13" s="157" customFormat="1" ht="56.25" customHeight="1" x14ac:dyDescent="0.35">
      <c r="A277" s="18"/>
      <c r="B277" s="31" t="s">
        <v>306</v>
      </c>
      <c r="C277" s="32" t="s">
        <v>305</v>
      </c>
      <c r="D277" s="17" t="s">
        <v>226</v>
      </c>
      <c r="E277" s="17" t="s">
        <v>67</v>
      </c>
      <c r="F277" s="39" t="s">
        <v>226</v>
      </c>
      <c r="G277" s="40" t="s">
        <v>47</v>
      </c>
      <c r="H277" s="660" t="s">
        <v>39</v>
      </c>
      <c r="I277" s="661" t="s">
        <v>46</v>
      </c>
      <c r="J277" s="17"/>
      <c r="K277" s="33">
        <f t="shared" si="54"/>
        <v>98.8</v>
      </c>
      <c r="L277" s="33">
        <f t="shared" si="54"/>
        <v>0</v>
      </c>
      <c r="M277" s="33">
        <f t="shared" si="54"/>
        <v>98.8</v>
      </c>
    </row>
    <row r="278" spans="1:13" s="157" customFormat="1" ht="36" x14ac:dyDescent="0.35">
      <c r="A278" s="18"/>
      <c r="B278" s="31" t="s">
        <v>701</v>
      </c>
      <c r="C278" s="32" t="s">
        <v>305</v>
      </c>
      <c r="D278" s="17" t="s">
        <v>226</v>
      </c>
      <c r="E278" s="17" t="s">
        <v>67</v>
      </c>
      <c r="F278" s="39" t="s">
        <v>226</v>
      </c>
      <c r="G278" s="40" t="s">
        <v>47</v>
      </c>
      <c r="H278" s="660" t="s">
        <v>39</v>
      </c>
      <c r="I278" s="661" t="s">
        <v>700</v>
      </c>
      <c r="J278" s="17"/>
      <c r="K278" s="33">
        <f t="shared" si="54"/>
        <v>98.8</v>
      </c>
      <c r="L278" s="33">
        <f t="shared" si="54"/>
        <v>0</v>
      </c>
      <c r="M278" s="33">
        <f t="shared" si="54"/>
        <v>98.8</v>
      </c>
    </row>
    <row r="279" spans="1:13" s="157" customFormat="1" ht="56.25" customHeight="1" x14ac:dyDescent="0.35">
      <c r="A279" s="18"/>
      <c r="B279" s="31" t="s">
        <v>57</v>
      </c>
      <c r="C279" s="32" t="s">
        <v>305</v>
      </c>
      <c r="D279" s="17" t="s">
        <v>226</v>
      </c>
      <c r="E279" s="17" t="s">
        <v>67</v>
      </c>
      <c r="F279" s="39" t="s">
        <v>226</v>
      </c>
      <c r="G279" s="40" t="s">
        <v>47</v>
      </c>
      <c r="H279" s="660" t="s">
        <v>39</v>
      </c>
      <c r="I279" s="661" t="s">
        <v>700</v>
      </c>
      <c r="J279" s="17" t="s">
        <v>58</v>
      </c>
      <c r="K279" s="33">
        <v>98.8</v>
      </c>
      <c r="L279" s="33">
        <f>M279-K279</f>
        <v>0</v>
      </c>
      <c r="M279" s="33">
        <v>98.8</v>
      </c>
    </row>
    <row r="280" spans="1:13" s="157" customFormat="1" ht="56.25" customHeight="1" x14ac:dyDescent="0.35">
      <c r="A280" s="18"/>
      <c r="B280" s="31" t="s">
        <v>202</v>
      </c>
      <c r="C280" s="32" t="s">
        <v>305</v>
      </c>
      <c r="D280" s="17" t="s">
        <v>90</v>
      </c>
      <c r="E280" s="17"/>
      <c r="F280" s="39"/>
      <c r="G280" s="40"/>
      <c r="H280" s="660"/>
      <c r="I280" s="661"/>
      <c r="J280" s="17"/>
      <c r="K280" s="33">
        <f>K281+K287</f>
        <v>7000</v>
      </c>
      <c r="L280" s="33">
        <f>L281+L287</f>
        <v>1285</v>
      </c>
      <c r="M280" s="33">
        <f>M281+M287</f>
        <v>8285</v>
      </c>
    </row>
    <row r="281" spans="1:13" s="157" customFormat="1" ht="56.25" customHeight="1" x14ac:dyDescent="0.35">
      <c r="A281" s="18"/>
      <c r="B281" s="37" t="s">
        <v>203</v>
      </c>
      <c r="C281" s="32" t="s">
        <v>305</v>
      </c>
      <c r="D281" s="17" t="s">
        <v>90</v>
      </c>
      <c r="E281" s="17" t="s">
        <v>39</v>
      </c>
      <c r="F281" s="39"/>
      <c r="G281" s="40"/>
      <c r="H281" s="660"/>
      <c r="I281" s="661"/>
      <c r="J281" s="17"/>
      <c r="K281" s="33">
        <f t="shared" ref="K281:M283" si="55">K282</f>
        <v>7000</v>
      </c>
      <c r="L281" s="33">
        <f t="shared" si="55"/>
        <v>0</v>
      </c>
      <c r="M281" s="33">
        <f t="shared" si="55"/>
        <v>7000</v>
      </c>
    </row>
    <row r="282" spans="1:13" s="157" customFormat="1" ht="55.2" customHeight="1" x14ac:dyDescent="0.35">
      <c r="A282" s="18"/>
      <c r="B282" s="31" t="s">
        <v>225</v>
      </c>
      <c r="C282" s="32" t="s">
        <v>305</v>
      </c>
      <c r="D282" s="17" t="s">
        <v>90</v>
      </c>
      <c r="E282" s="17" t="s">
        <v>39</v>
      </c>
      <c r="F282" s="39" t="s">
        <v>226</v>
      </c>
      <c r="G282" s="40" t="s">
        <v>44</v>
      </c>
      <c r="H282" s="660" t="s">
        <v>45</v>
      </c>
      <c r="I282" s="661" t="s">
        <v>46</v>
      </c>
      <c r="J282" s="17"/>
      <c r="K282" s="33">
        <f t="shared" si="55"/>
        <v>7000</v>
      </c>
      <c r="L282" s="33">
        <f t="shared" si="55"/>
        <v>0</v>
      </c>
      <c r="M282" s="33">
        <f t="shared" si="55"/>
        <v>7000</v>
      </c>
    </row>
    <row r="283" spans="1:13" s="157" customFormat="1" ht="37.5" customHeight="1" x14ac:dyDescent="0.35">
      <c r="A283" s="18"/>
      <c r="B283" s="31" t="s">
        <v>345</v>
      </c>
      <c r="C283" s="32" t="s">
        <v>305</v>
      </c>
      <c r="D283" s="17" t="s">
        <v>90</v>
      </c>
      <c r="E283" s="17" t="s">
        <v>39</v>
      </c>
      <c r="F283" s="39" t="s">
        <v>226</v>
      </c>
      <c r="G283" s="40" t="s">
        <v>47</v>
      </c>
      <c r="H283" s="660" t="s">
        <v>45</v>
      </c>
      <c r="I283" s="661" t="s">
        <v>46</v>
      </c>
      <c r="J283" s="17"/>
      <c r="K283" s="33">
        <f t="shared" si="55"/>
        <v>7000</v>
      </c>
      <c r="L283" s="33">
        <f t="shared" si="55"/>
        <v>0</v>
      </c>
      <c r="M283" s="33">
        <f t="shared" si="55"/>
        <v>7000</v>
      </c>
    </row>
    <row r="284" spans="1:13" s="157" customFormat="1" ht="37.5" customHeight="1" x14ac:dyDescent="0.35">
      <c r="A284" s="18"/>
      <c r="B284" s="31" t="s">
        <v>307</v>
      </c>
      <c r="C284" s="32" t="s">
        <v>305</v>
      </c>
      <c r="D284" s="17" t="s">
        <v>90</v>
      </c>
      <c r="E284" s="17" t="s">
        <v>39</v>
      </c>
      <c r="F284" s="39" t="s">
        <v>226</v>
      </c>
      <c r="G284" s="40" t="s">
        <v>47</v>
      </c>
      <c r="H284" s="660" t="s">
        <v>41</v>
      </c>
      <c r="I284" s="661" t="s">
        <v>46</v>
      </c>
      <c r="J284" s="17"/>
      <c r="K284" s="33">
        <f>K285</f>
        <v>7000</v>
      </c>
      <c r="L284" s="33">
        <f>L285</f>
        <v>0</v>
      </c>
      <c r="M284" s="33">
        <f>M285</f>
        <v>7000</v>
      </c>
    </row>
    <row r="285" spans="1:13" s="157" customFormat="1" ht="37.5" customHeight="1" x14ac:dyDescent="0.35">
      <c r="A285" s="18"/>
      <c r="B285" s="31" t="s">
        <v>260</v>
      </c>
      <c r="C285" s="32" t="s">
        <v>305</v>
      </c>
      <c r="D285" s="17" t="s">
        <v>90</v>
      </c>
      <c r="E285" s="17" t="s">
        <v>39</v>
      </c>
      <c r="F285" s="39" t="s">
        <v>226</v>
      </c>
      <c r="G285" s="40" t="s">
        <v>47</v>
      </c>
      <c r="H285" s="660" t="s">
        <v>41</v>
      </c>
      <c r="I285" s="661" t="s">
        <v>468</v>
      </c>
      <c r="J285" s="17"/>
      <c r="K285" s="33">
        <f t="shared" ref="K285:M285" si="56">K286</f>
        <v>7000</v>
      </c>
      <c r="L285" s="33">
        <f t="shared" si="56"/>
        <v>0</v>
      </c>
      <c r="M285" s="33">
        <f t="shared" si="56"/>
        <v>7000</v>
      </c>
    </row>
    <row r="286" spans="1:13" s="157" customFormat="1" ht="18.75" customHeight="1" x14ac:dyDescent="0.35">
      <c r="A286" s="18"/>
      <c r="B286" s="31" t="s">
        <v>125</v>
      </c>
      <c r="C286" s="32" t="s">
        <v>305</v>
      </c>
      <c r="D286" s="17" t="s">
        <v>90</v>
      </c>
      <c r="E286" s="17" t="s">
        <v>39</v>
      </c>
      <c r="F286" s="39" t="s">
        <v>226</v>
      </c>
      <c r="G286" s="40" t="s">
        <v>47</v>
      </c>
      <c r="H286" s="660" t="s">
        <v>41</v>
      </c>
      <c r="I286" s="661" t="s">
        <v>468</v>
      </c>
      <c r="J286" s="17" t="s">
        <v>126</v>
      </c>
      <c r="K286" s="33">
        <v>7000</v>
      </c>
      <c r="L286" s="33">
        <f>M286-K286</f>
        <v>0</v>
      </c>
      <c r="M286" s="33">
        <v>7000</v>
      </c>
    </row>
    <row r="287" spans="1:13" s="157" customFormat="1" ht="36" x14ac:dyDescent="0.35">
      <c r="A287" s="18"/>
      <c r="B287" s="31" t="s">
        <v>752</v>
      </c>
      <c r="C287" s="32" t="s">
        <v>305</v>
      </c>
      <c r="D287" s="17" t="s">
        <v>90</v>
      </c>
      <c r="E287" s="17" t="s">
        <v>65</v>
      </c>
      <c r="F287" s="39"/>
      <c r="G287" s="40"/>
      <c r="H287" s="660"/>
      <c r="I287" s="661"/>
      <c r="J287" s="17"/>
      <c r="K287" s="33">
        <f t="shared" ref="K287:M290" si="57">K288</f>
        <v>0</v>
      </c>
      <c r="L287" s="33">
        <f t="shared" si="57"/>
        <v>1285</v>
      </c>
      <c r="M287" s="33">
        <f>M288</f>
        <v>1285</v>
      </c>
    </row>
    <row r="288" spans="1:13" s="157" customFormat="1" ht="54" x14ac:dyDescent="0.35">
      <c r="A288" s="18"/>
      <c r="B288" s="31" t="s">
        <v>225</v>
      </c>
      <c r="C288" s="32" t="s">
        <v>305</v>
      </c>
      <c r="D288" s="17" t="s">
        <v>90</v>
      </c>
      <c r="E288" s="17" t="s">
        <v>65</v>
      </c>
      <c r="F288" s="39" t="s">
        <v>226</v>
      </c>
      <c r="G288" s="40" t="s">
        <v>44</v>
      </c>
      <c r="H288" s="660" t="s">
        <v>45</v>
      </c>
      <c r="I288" s="661" t="s">
        <v>46</v>
      </c>
      <c r="J288" s="17"/>
      <c r="K288" s="33">
        <f t="shared" si="57"/>
        <v>0</v>
      </c>
      <c r="L288" s="33">
        <f t="shared" si="57"/>
        <v>1285</v>
      </c>
      <c r="M288" s="33">
        <f t="shared" si="57"/>
        <v>1285</v>
      </c>
    </row>
    <row r="289" spans="1:13" s="157" customFormat="1" ht="36" x14ac:dyDescent="0.35">
      <c r="A289" s="18"/>
      <c r="B289" s="31" t="s">
        <v>345</v>
      </c>
      <c r="C289" s="32" t="s">
        <v>305</v>
      </c>
      <c r="D289" s="17" t="s">
        <v>90</v>
      </c>
      <c r="E289" s="17" t="s">
        <v>65</v>
      </c>
      <c r="F289" s="39" t="s">
        <v>226</v>
      </c>
      <c r="G289" s="40" t="s">
        <v>47</v>
      </c>
      <c r="H289" s="660" t="s">
        <v>45</v>
      </c>
      <c r="I289" s="661" t="s">
        <v>46</v>
      </c>
      <c r="J289" s="17"/>
      <c r="K289" s="33">
        <f t="shared" si="57"/>
        <v>0</v>
      </c>
      <c r="L289" s="33">
        <f t="shared" si="57"/>
        <v>1285</v>
      </c>
      <c r="M289" s="33">
        <f t="shared" si="57"/>
        <v>1285</v>
      </c>
    </row>
    <row r="290" spans="1:13" s="157" customFormat="1" ht="36" x14ac:dyDescent="0.35">
      <c r="A290" s="18"/>
      <c r="B290" s="31" t="s">
        <v>307</v>
      </c>
      <c r="C290" s="32" t="s">
        <v>305</v>
      </c>
      <c r="D290" s="17" t="s">
        <v>90</v>
      </c>
      <c r="E290" s="17" t="s">
        <v>65</v>
      </c>
      <c r="F290" s="39" t="s">
        <v>226</v>
      </c>
      <c r="G290" s="40" t="s">
        <v>47</v>
      </c>
      <c r="H290" s="660" t="s">
        <v>41</v>
      </c>
      <c r="I290" s="661" t="s">
        <v>46</v>
      </c>
      <c r="J290" s="17"/>
      <c r="K290" s="33">
        <f t="shared" si="57"/>
        <v>0</v>
      </c>
      <c r="L290" s="33">
        <f t="shared" si="57"/>
        <v>1285</v>
      </c>
      <c r="M290" s="33">
        <f t="shared" si="57"/>
        <v>1285</v>
      </c>
    </row>
    <row r="291" spans="1:13" s="157" customFormat="1" ht="54" x14ac:dyDescent="0.35">
      <c r="A291" s="18"/>
      <c r="B291" s="31" t="s">
        <v>780</v>
      </c>
      <c r="C291" s="32" t="s">
        <v>305</v>
      </c>
      <c r="D291" s="17" t="s">
        <v>90</v>
      </c>
      <c r="E291" s="17" t="s">
        <v>65</v>
      </c>
      <c r="F291" s="39" t="s">
        <v>226</v>
      </c>
      <c r="G291" s="40" t="s">
        <v>47</v>
      </c>
      <c r="H291" s="660" t="s">
        <v>41</v>
      </c>
      <c r="I291" s="661" t="s">
        <v>781</v>
      </c>
      <c r="J291" s="17"/>
      <c r="K291" s="33">
        <f>K292</f>
        <v>0</v>
      </c>
      <c r="L291" s="33">
        <f>L292</f>
        <v>1285</v>
      </c>
      <c r="M291" s="33">
        <f>M292</f>
        <v>1285</v>
      </c>
    </row>
    <row r="292" spans="1:13" s="157" customFormat="1" ht="18" x14ac:dyDescent="0.35">
      <c r="A292" s="18"/>
      <c r="B292" s="31" t="s">
        <v>125</v>
      </c>
      <c r="C292" s="32" t="s">
        <v>305</v>
      </c>
      <c r="D292" s="17" t="s">
        <v>90</v>
      </c>
      <c r="E292" s="17" t="s">
        <v>65</v>
      </c>
      <c r="F292" s="39" t="s">
        <v>226</v>
      </c>
      <c r="G292" s="40" t="s">
        <v>47</v>
      </c>
      <c r="H292" s="660" t="s">
        <v>41</v>
      </c>
      <c r="I292" s="661" t="s">
        <v>781</v>
      </c>
      <c r="J292" s="17" t="s">
        <v>126</v>
      </c>
      <c r="K292" s="33">
        <v>0</v>
      </c>
      <c r="L292" s="33">
        <f>M292-K292</f>
        <v>1285</v>
      </c>
      <c r="M292" s="33">
        <v>1285</v>
      </c>
    </row>
    <row r="293" spans="1:13" s="157" customFormat="1" ht="18.75" customHeight="1" x14ac:dyDescent="0.35">
      <c r="A293" s="18"/>
      <c r="B293" s="31"/>
      <c r="C293" s="32"/>
      <c r="D293" s="17"/>
      <c r="E293" s="17"/>
      <c r="F293" s="39"/>
      <c r="G293" s="40"/>
      <c r="H293" s="660"/>
      <c r="I293" s="661"/>
      <c r="J293" s="17"/>
      <c r="K293" s="33"/>
      <c r="L293" s="33"/>
      <c r="M293" s="33"/>
    </row>
    <row r="294" spans="1:13" s="158" customFormat="1" ht="56.25" customHeight="1" x14ac:dyDescent="0.3">
      <c r="A294" s="151">
        <v>3</v>
      </c>
      <c r="B294" s="25" t="s">
        <v>37</v>
      </c>
      <c r="C294" s="26" t="s">
        <v>130</v>
      </c>
      <c r="D294" s="27"/>
      <c r="E294" s="27"/>
      <c r="F294" s="28"/>
      <c r="G294" s="29"/>
      <c r="H294" s="29"/>
      <c r="I294" s="30"/>
      <c r="J294" s="27"/>
      <c r="K294" s="47">
        <f t="shared" ref="K294:M297" si="58">K295</f>
        <v>6007</v>
      </c>
      <c r="L294" s="47">
        <f t="shared" si="58"/>
        <v>-3.979039320256561E-13</v>
      </c>
      <c r="M294" s="47">
        <f t="shared" si="58"/>
        <v>6007</v>
      </c>
    </row>
    <row r="295" spans="1:13" s="158" customFormat="1" ht="18.75" customHeight="1" x14ac:dyDescent="0.35">
      <c r="A295" s="18"/>
      <c r="B295" s="31" t="s">
        <v>38</v>
      </c>
      <c r="C295" s="32" t="s">
        <v>130</v>
      </c>
      <c r="D295" s="17" t="s">
        <v>39</v>
      </c>
      <c r="E295" s="17"/>
      <c r="F295" s="659"/>
      <c r="G295" s="660"/>
      <c r="H295" s="660"/>
      <c r="I295" s="661"/>
      <c r="J295" s="17"/>
      <c r="K295" s="33">
        <f t="shared" si="58"/>
        <v>6007</v>
      </c>
      <c r="L295" s="33">
        <f t="shared" si="58"/>
        <v>-3.979039320256561E-13</v>
      </c>
      <c r="M295" s="33">
        <f t="shared" si="58"/>
        <v>6007</v>
      </c>
    </row>
    <row r="296" spans="1:13" s="158" customFormat="1" ht="75" customHeight="1" x14ac:dyDescent="0.35">
      <c r="A296" s="18"/>
      <c r="B296" s="31" t="s">
        <v>131</v>
      </c>
      <c r="C296" s="32" t="s">
        <v>130</v>
      </c>
      <c r="D296" s="17" t="s">
        <v>39</v>
      </c>
      <c r="E296" s="17" t="s">
        <v>83</v>
      </c>
      <c r="F296" s="659"/>
      <c r="G296" s="660"/>
      <c r="H296" s="660"/>
      <c r="I296" s="661"/>
      <c r="J296" s="17"/>
      <c r="K296" s="33">
        <f t="shared" si="58"/>
        <v>6007</v>
      </c>
      <c r="L296" s="33">
        <f t="shared" si="58"/>
        <v>-3.979039320256561E-13</v>
      </c>
      <c r="M296" s="33">
        <f t="shared" si="58"/>
        <v>6007</v>
      </c>
    </row>
    <row r="297" spans="1:13" s="158" customFormat="1" ht="39" customHeight="1" x14ac:dyDescent="0.35">
      <c r="A297" s="18"/>
      <c r="B297" s="34" t="s">
        <v>132</v>
      </c>
      <c r="C297" s="32" t="s">
        <v>130</v>
      </c>
      <c r="D297" s="17" t="s">
        <v>39</v>
      </c>
      <c r="E297" s="17" t="s">
        <v>83</v>
      </c>
      <c r="F297" s="659" t="s">
        <v>133</v>
      </c>
      <c r="G297" s="660" t="s">
        <v>44</v>
      </c>
      <c r="H297" s="660" t="s">
        <v>45</v>
      </c>
      <c r="I297" s="661" t="s">
        <v>46</v>
      </c>
      <c r="J297" s="17"/>
      <c r="K297" s="33">
        <f t="shared" si="58"/>
        <v>6007</v>
      </c>
      <c r="L297" s="33">
        <f t="shared" si="58"/>
        <v>-3.979039320256561E-13</v>
      </c>
      <c r="M297" s="33">
        <f t="shared" si="58"/>
        <v>6007</v>
      </c>
    </row>
    <row r="298" spans="1:13" s="158" customFormat="1" ht="41.25" customHeight="1" x14ac:dyDescent="0.35">
      <c r="A298" s="18"/>
      <c r="B298" s="34" t="s">
        <v>134</v>
      </c>
      <c r="C298" s="32" t="s">
        <v>130</v>
      </c>
      <c r="D298" s="17" t="s">
        <v>39</v>
      </c>
      <c r="E298" s="17" t="s">
        <v>83</v>
      </c>
      <c r="F298" s="659" t="s">
        <v>133</v>
      </c>
      <c r="G298" s="660" t="s">
        <v>47</v>
      </c>
      <c r="H298" s="660" t="s">
        <v>45</v>
      </c>
      <c r="I298" s="661" t="s">
        <v>46</v>
      </c>
      <c r="J298" s="17"/>
      <c r="K298" s="33">
        <f>K299+K303</f>
        <v>6007</v>
      </c>
      <c r="L298" s="33">
        <f>L299+L303</f>
        <v>-3.979039320256561E-13</v>
      </c>
      <c r="M298" s="33">
        <f>M299+M303</f>
        <v>6007</v>
      </c>
    </row>
    <row r="299" spans="1:13" s="158" customFormat="1" ht="37.5" customHeight="1" x14ac:dyDescent="0.35">
      <c r="A299" s="18"/>
      <c r="B299" s="31" t="s">
        <v>49</v>
      </c>
      <c r="C299" s="32" t="s">
        <v>130</v>
      </c>
      <c r="D299" s="17" t="s">
        <v>39</v>
      </c>
      <c r="E299" s="17" t="s">
        <v>83</v>
      </c>
      <c r="F299" s="659" t="s">
        <v>133</v>
      </c>
      <c r="G299" s="660" t="s">
        <v>47</v>
      </c>
      <c r="H299" s="660" t="s">
        <v>45</v>
      </c>
      <c r="I299" s="661" t="s">
        <v>50</v>
      </c>
      <c r="J299" s="17"/>
      <c r="K299" s="33">
        <f>K300+K301+K302</f>
        <v>4928.1000000000004</v>
      </c>
      <c r="L299" s="33">
        <f>L300+L301+L302</f>
        <v>-3.979039320256561E-13</v>
      </c>
      <c r="M299" s="33">
        <f>M300+M301+M302</f>
        <v>4928.0999999999995</v>
      </c>
    </row>
    <row r="300" spans="1:13" s="158" customFormat="1" ht="112.5" customHeight="1" x14ac:dyDescent="0.35">
      <c r="A300" s="18"/>
      <c r="B300" s="34" t="s">
        <v>51</v>
      </c>
      <c r="C300" s="32" t="s">
        <v>130</v>
      </c>
      <c r="D300" s="17" t="s">
        <v>39</v>
      </c>
      <c r="E300" s="17" t="s">
        <v>83</v>
      </c>
      <c r="F300" s="659" t="s">
        <v>133</v>
      </c>
      <c r="G300" s="660" t="s">
        <v>47</v>
      </c>
      <c r="H300" s="660" t="s">
        <v>45</v>
      </c>
      <c r="I300" s="661" t="s">
        <v>50</v>
      </c>
      <c r="J300" s="17" t="s">
        <v>52</v>
      </c>
      <c r="K300" s="33">
        <f>3104.9+1566.4</f>
        <v>4671.3</v>
      </c>
      <c r="L300" s="33">
        <f>M300-K300</f>
        <v>-66.100000000000364</v>
      </c>
      <c r="M300" s="33">
        <f>3104.9+1566.4-66.1</f>
        <v>4605.2</v>
      </c>
    </row>
    <row r="301" spans="1:13" s="158" customFormat="1" ht="56.25" customHeight="1" x14ac:dyDescent="0.35">
      <c r="A301" s="18"/>
      <c r="B301" s="31" t="s">
        <v>57</v>
      </c>
      <c r="C301" s="32" t="s">
        <v>130</v>
      </c>
      <c r="D301" s="17" t="s">
        <v>39</v>
      </c>
      <c r="E301" s="17" t="s">
        <v>83</v>
      </c>
      <c r="F301" s="659" t="s">
        <v>133</v>
      </c>
      <c r="G301" s="660" t="s">
        <v>47</v>
      </c>
      <c r="H301" s="660" t="s">
        <v>45</v>
      </c>
      <c r="I301" s="661" t="s">
        <v>50</v>
      </c>
      <c r="J301" s="17" t="s">
        <v>58</v>
      </c>
      <c r="K301" s="33">
        <v>246.8</v>
      </c>
      <c r="L301" s="33">
        <f>M301-K301</f>
        <v>66.099999999999966</v>
      </c>
      <c r="M301" s="33">
        <f>246.8+66.1</f>
        <v>312.89999999999998</v>
      </c>
    </row>
    <row r="302" spans="1:13" s="158" customFormat="1" ht="18.75" customHeight="1" x14ac:dyDescent="0.35">
      <c r="A302" s="18"/>
      <c r="B302" s="31" t="s">
        <v>59</v>
      </c>
      <c r="C302" s="32" t="s">
        <v>130</v>
      </c>
      <c r="D302" s="17" t="s">
        <v>39</v>
      </c>
      <c r="E302" s="17" t="s">
        <v>83</v>
      </c>
      <c r="F302" s="659" t="s">
        <v>133</v>
      </c>
      <c r="G302" s="660" t="s">
        <v>47</v>
      </c>
      <c r="H302" s="660" t="s">
        <v>45</v>
      </c>
      <c r="I302" s="661" t="s">
        <v>50</v>
      </c>
      <c r="J302" s="17" t="s">
        <v>60</v>
      </c>
      <c r="K302" s="33">
        <v>10</v>
      </c>
      <c r="L302" s="33">
        <f>M302-K302</f>
        <v>0</v>
      </c>
      <c r="M302" s="33">
        <v>10</v>
      </c>
    </row>
    <row r="303" spans="1:13" s="158" customFormat="1" ht="37.5" customHeight="1" x14ac:dyDescent="0.35">
      <c r="A303" s="18"/>
      <c r="B303" s="31" t="s">
        <v>238</v>
      </c>
      <c r="C303" s="32" t="s">
        <v>130</v>
      </c>
      <c r="D303" s="17" t="s">
        <v>39</v>
      </c>
      <c r="E303" s="17" t="s">
        <v>83</v>
      </c>
      <c r="F303" s="659" t="s">
        <v>133</v>
      </c>
      <c r="G303" s="660" t="s">
        <v>47</v>
      </c>
      <c r="H303" s="660" t="s">
        <v>45</v>
      </c>
      <c r="I303" s="661" t="s">
        <v>135</v>
      </c>
      <c r="J303" s="17"/>
      <c r="K303" s="33">
        <f t="shared" ref="K303:M303" si="59">K304</f>
        <v>1078.9000000000001</v>
      </c>
      <c r="L303" s="33">
        <f t="shared" si="59"/>
        <v>0</v>
      </c>
      <c r="M303" s="33">
        <f t="shared" si="59"/>
        <v>1078.9000000000001</v>
      </c>
    </row>
    <row r="304" spans="1:13" s="158" customFormat="1" ht="112.5" customHeight="1" x14ac:dyDescent="0.35">
      <c r="A304" s="18"/>
      <c r="B304" s="31" t="s">
        <v>51</v>
      </c>
      <c r="C304" s="32" t="s">
        <v>130</v>
      </c>
      <c r="D304" s="17" t="s">
        <v>39</v>
      </c>
      <c r="E304" s="17" t="s">
        <v>83</v>
      </c>
      <c r="F304" s="659" t="s">
        <v>133</v>
      </c>
      <c r="G304" s="660" t="s">
        <v>47</v>
      </c>
      <c r="H304" s="660" t="s">
        <v>45</v>
      </c>
      <c r="I304" s="661" t="s">
        <v>135</v>
      </c>
      <c r="J304" s="17" t="s">
        <v>52</v>
      </c>
      <c r="K304" s="33">
        <v>1078.9000000000001</v>
      </c>
      <c r="L304" s="33">
        <f>M304-K304</f>
        <v>0</v>
      </c>
      <c r="M304" s="33">
        <v>1078.9000000000001</v>
      </c>
    </row>
    <row r="305" spans="1:13" s="173" customFormat="1" ht="18.75" customHeight="1" x14ac:dyDescent="0.35">
      <c r="A305" s="363"/>
      <c r="B305" s="366"/>
      <c r="C305" s="367"/>
      <c r="D305" s="368"/>
      <c r="E305" s="368"/>
      <c r="F305" s="369"/>
      <c r="G305" s="370"/>
      <c r="H305" s="370"/>
      <c r="I305" s="371"/>
      <c r="J305" s="368"/>
      <c r="K305" s="350"/>
      <c r="L305" s="350"/>
      <c r="M305" s="350"/>
    </row>
    <row r="306" spans="1:13" s="167" customFormat="1" ht="56.25" customHeight="1" x14ac:dyDescent="0.3">
      <c r="A306" s="159">
        <v>4</v>
      </c>
      <c r="B306" s="160" t="s">
        <v>6</v>
      </c>
      <c r="C306" s="161" t="s">
        <v>478</v>
      </c>
      <c r="D306" s="162"/>
      <c r="E306" s="162"/>
      <c r="F306" s="163"/>
      <c r="G306" s="164"/>
      <c r="H306" s="164"/>
      <c r="I306" s="165"/>
      <c r="J306" s="162"/>
      <c r="K306" s="166" t="e">
        <f>K307+K355+K364+K348+K385+#REF!</f>
        <v>#REF!</v>
      </c>
      <c r="L306" s="166">
        <f>L307+L355+L364+L348+L385</f>
        <v>16582.000000000004</v>
      </c>
      <c r="M306" s="166">
        <f>M307+M355+M364+M348+M385</f>
        <v>261771.4</v>
      </c>
    </row>
    <row r="307" spans="1:13" s="173" customFormat="1" ht="18.75" customHeight="1" x14ac:dyDescent="0.35">
      <c r="A307" s="168"/>
      <c r="B307" s="140" t="s">
        <v>38</v>
      </c>
      <c r="C307" s="169" t="s">
        <v>478</v>
      </c>
      <c r="D307" s="170" t="s">
        <v>39</v>
      </c>
      <c r="E307" s="118"/>
      <c r="F307" s="171"/>
      <c r="G307" s="116"/>
      <c r="H307" s="116"/>
      <c r="I307" s="117"/>
      <c r="J307" s="118"/>
      <c r="K307" s="172">
        <f>K308</f>
        <v>48901.999999999993</v>
      </c>
      <c r="L307" s="172">
        <f>L308</f>
        <v>800.40000000000009</v>
      </c>
      <c r="M307" s="172">
        <f>M308</f>
        <v>49702.399999999994</v>
      </c>
    </row>
    <row r="308" spans="1:13" s="167" customFormat="1" ht="18.75" customHeight="1" x14ac:dyDescent="0.35">
      <c r="A308" s="168"/>
      <c r="B308" s="140" t="s">
        <v>72</v>
      </c>
      <c r="C308" s="169" t="s">
        <v>478</v>
      </c>
      <c r="D308" s="170" t="s">
        <v>39</v>
      </c>
      <c r="E308" s="170" t="s">
        <v>73</v>
      </c>
      <c r="F308" s="171"/>
      <c r="G308" s="116"/>
      <c r="H308" s="116"/>
      <c r="I308" s="117"/>
      <c r="J308" s="118"/>
      <c r="K308" s="172">
        <f>K309+K342</f>
        <v>48901.999999999993</v>
      </c>
      <c r="L308" s="172">
        <f>L309+L342</f>
        <v>800.40000000000009</v>
      </c>
      <c r="M308" s="172">
        <f>M309+M342</f>
        <v>49702.399999999994</v>
      </c>
    </row>
    <row r="309" spans="1:13" s="173" customFormat="1" ht="57" customHeight="1" x14ac:dyDescent="0.35">
      <c r="A309" s="168"/>
      <c r="B309" s="140" t="s">
        <v>227</v>
      </c>
      <c r="C309" s="169" t="s">
        <v>478</v>
      </c>
      <c r="D309" s="170" t="s">
        <v>39</v>
      </c>
      <c r="E309" s="170" t="s">
        <v>73</v>
      </c>
      <c r="F309" s="128" t="s">
        <v>228</v>
      </c>
      <c r="G309" s="116" t="s">
        <v>44</v>
      </c>
      <c r="H309" s="116" t="s">
        <v>45</v>
      </c>
      <c r="I309" s="117" t="s">
        <v>46</v>
      </c>
      <c r="J309" s="118"/>
      <c r="K309" s="172">
        <f>K310+K317+K335</f>
        <v>42936.999999999993</v>
      </c>
      <c r="L309" s="172">
        <f>L310+L317+L335</f>
        <v>800.40000000000009</v>
      </c>
      <c r="M309" s="172">
        <f>M310+M317+M335</f>
        <v>43737.399999999994</v>
      </c>
    </row>
    <row r="310" spans="1:13" s="173" customFormat="1" ht="37.950000000000003" customHeight="1" x14ac:dyDescent="0.35">
      <c r="A310" s="168"/>
      <c r="B310" s="140" t="s">
        <v>229</v>
      </c>
      <c r="C310" s="169" t="s">
        <v>478</v>
      </c>
      <c r="D310" s="170" t="s">
        <v>39</v>
      </c>
      <c r="E310" s="170" t="s">
        <v>73</v>
      </c>
      <c r="F310" s="174" t="s">
        <v>228</v>
      </c>
      <c r="G310" s="175" t="s">
        <v>47</v>
      </c>
      <c r="H310" s="175" t="s">
        <v>45</v>
      </c>
      <c r="I310" s="176" t="s">
        <v>46</v>
      </c>
      <c r="J310" s="118"/>
      <c r="K310" s="172">
        <f>K311+K314</f>
        <v>4330.5999999999995</v>
      </c>
      <c r="L310" s="172">
        <f>L311+L314</f>
        <v>171.30000000000018</v>
      </c>
      <c r="M310" s="172">
        <f>M311+M314</f>
        <v>4501.8999999999996</v>
      </c>
    </row>
    <row r="311" spans="1:13" s="173" customFormat="1" ht="90.6" customHeight="1" x14ac:dyDescent="0.35">
      <c r="A311" s="168"/>
      <c r="B311" s="140" t="s">
        <v>300</v>
      </c>
      <c r="C311" s="169" t="s">
        <v>478</v>
      </c>
      <c r="D311" s="170" t="s">
        <v>39</v>
      </c>
      <c r="E311" s="170" t="s">
        <v>73</v>
      </c>
      <c r="F311" s="115" t="s">
        <v>228</v>
      </c>
      <c r="G311" s="116" t="s">
        <v>47</v>
      </c>
      <c r="H311" s="116" t="s">
        <v>39</v>
      </c>
      <c r="I311" s="117" t="s">
        <v>46</v>
      </c>
      <c r="J311" s="118"/>
      <c r="K311" s="172">
        <f t="shared" ref="K311:M312" si="60">K312</f>
        <v>511</v>
      </c>
      <c r="L311" s="172">
        <f t="shared" si="60"/>
        <v>0</v>
      </c>
      <c r="M311" s="172">
        <f t="shared" si="60"/>
        <v>511</v>
      </c>
    </row>
    <row r="312" spans="1:13" s="173" customFormat="1" ht="56.25" customHeight="1" x14ac:dyDescent="0.35">
      <c r="A312" s="168"/>
      <c r="B312" s="140" t="s">
        <v>230</v>
      </c>
      <c r="C312" s="169" t="s">
        <v>478</v>
      </c>
      <c r="D312" s="170" t="s">
        <v>39</v>
      </c>
      <c r="E312" s="170" t="s">
        <v>73</v>
      </c>
      <c r="F312" s="115" t="s">
        <v>228</v>
      </c>
      <c r="G312" s="116" t="s">
        <v>47</v>
      </c>
      <c r="H312" s="116" t="s">
        <v>39</v>
      </c>
      <c r="I312" s="117" t="s">
        <v>301</v>
      </c>
      <c r="J312" s="118"/>
      <c r="K312" s="172">
        <f t="shared" si="60"/>
        <v>511</v>
      </c>
      <c r="L312" s="172">
        <f t="shared" si="60"/>
        <v>0</v>
      </c>
      <c r="M312" s="172">
        <f t="shared" si="60"/>
        <v>511</v>
      </c>
    </row>
    <row r="313" spans="1:13" s="167" customFormat="1" ht="56.25" customHeight="1" x14ac:dyDescent="0.35">
      <c r="A313" s="168"/>
      <c r="B313" s="135" t="s">
        <v>57</v>
      </c>
      <c r="C313" s="169" t="s">
        <v>478</v>
      </c>
      <c r="D313" s="170" t="s">
        <v>39</v>
      </c>
      <c r="E313" s="170" t="s">
        <v>73</v>
      </c>
      <c r="F313" s="115" t="s">
        <v>228</v>
      </c>
      <c r="G313" s="116" t="s">
        <v>47</v>
      </c>
      <c r="H313" s="116" t="s">
        <v>39</v>
      </c>
      <c r="I313" s="117" t="s">
        <v>301</v>
      </c>
      <c r="J313" s="118" t="s">
        <v>58</v>
      </c>
      <c r="K313" s="172">
        <v>511</v>
      </c>
      <c r="L313" s="33">
        <f>M313-K313</f>
        <v>0</v>
      </c>
      <c r="M313" s="172">
        <v>511</v>
      </c>
    </row>
    <row r="314" spans="1:13" s="167" customFormat="1" ht="37.5" customHeight="1" x14ac:dyDescent="0.35">
      <c r="A314" s="168"/>
      <c r="B314" s="135" t="s">
        <v>344</v>
      </c>
      <c r="C314" s="169" t="s">
        <v>478</v>
      </c>
      <c r="D314" s="170" t="s">
        <v>39</v>
      </c>
      <c r="E314" s="170" t="s">
        <v>73</v>
      </c>
      <c r="F314" s="115" t="s">
        <v>228</v>
      </c>
      <c r="G314" s="116" t="s">
        <v>47</v>
      </c>
      <c r="H314" s="116" t="s">
        <v>41</v>
      </c>
      <c r="I314" s="117" t="s">
        <v>46</v>
      </c>
      <c r="J314" s="118"/>
      <c r="K314" s="172">
        <f>K315</f>
        <v>3819.5999999999995</v>
      </c>
      <c r="L314" s="172">
        <f>L315</f>
        <v>171.30000000000018</v>
      </c>
      <c r="M314" s="172">
        <f>M315</f>
        <v>3990.8999999999996</v>
      </c>
    </row>
    <row r="315" spans="1:13" s="167" customFormat="1" ht="37.5" customHeight="1" x14ac:dyDescent="0.35">
      <c r="A315" s="168"/>
      <c r="B315" s="135" t="s">
        <v>343</v>
      </c>
      <c r="C315" s="169" t="s">
        <v>478</v>
      </c>
      <c r="D315" s="170" t="s">
        <v>39</v>
      </c>
      <c r="E315" s="170" t="s">
        <v>73</v>
      </c>
      <c r="F315" s="115" t="s">
        <v>228</v>
      </c>
      <c r="G315" s="116" t="s">
        <v>47</v>
      </c>
      <c r="H315" s="116" t="s">
        <v>41</v>
      </c>
      <c r="I315" s="117" t="s">
        <v>342</v>
      </c>
      <c r="J315" s="118"/>
      <c r="K315" s="172">
        <f>SUM(K316:K316)</f>
        <v>3819.5999999999995</v>
      </c>
      <c r="L315" s="172">
        <f>SUM(L316:L316)</f>
        <v>171.30000000000018</v>
      </c>
      <c r="M315" s="172">
        <f>SUM(M316:M316)</f>
        <v>3990.8999999999996</v>
      </c>
    </row>
    <row r="316" spans="1:13" s="167" customFormat="1" ht="56.25" customHeight="1" x14ac:dyDescent="0.35">
      <c r="A316" s="168"/>
      <c r="B316" s="135" t="s">
        <v>57</v>
      </c>
      <c r="C316" s="169" t="s">
        <v>478</v>
      </c>
      <c r="D316" s="170" t="s">
        <v>39</v>
      </c>
      <c r="E316" s="170" t="s">
        <v>73</v>
      </c>
      <c r="F316" s="115" t="s">
        <v>228</v>
      </c>
      <c r="G316" s="116" t="s">
        <v>47</v>
      </c>
      <c r="H316" s="116" t="s">
        <v>41</v>
      </c>
      <c r="I316" s="117" t="s">
        <v>342</v>
      </c>
      <c r="J316" s="118" t="s">
        <v>58</v>
      </c>
      <c r="K316" s="172">
        <f>3197.2+586.2+36.2</f>
        <v>3819.5999999999995</v>
      </c>
      <c r="L316" s="33">
        <f>M316-K316</f>
        <v>171.30000000000018</v>
      </c>
      <c r="M316" s="172">
        <f>3197.2+586.2+36.2+283.6-112.3</f>
        <v>3990.8999999999996</v>
      </c>
    </row>
    <row r="317" spans="1:13" s="167" customFormat="1" ht="37.5" customHeight="1" x14ac:dyDescent="0.35">
      <c r="A317" s="168"/>
      <c r="B317" s="140" t="s">
        <v>231</v>
      </c>
      <c r="C317" s="169" t="s">
        <v>478</v>
      </c>
      <c r="D317" s="170" t="s">
        <v>39</v>
      </c>
      <c r="E317" s="170" t="s">
        <v>73</v>
      </c>
      <c r="F317" s="128" t="s">
        <v>228</v>
      </c>
      <c r="G317" s="116" t="s">
        <v>91</v>
      </c>
      <c r="H317" s="116" t="s">
        <v>45</v>
      </c>
      <c r="I317" s="117" t="s">
        <v>46</v>
      </c>
      <c r="J317" s="118"/>
      <c r="K317" s="172">
        <f>K318+K329+K332</f>
        <v>24632.499999999996</v>
      </c>
      <c r="L317" s="172">
        <f>L318+L329+L332</f>
        <v>0</v>
      </c>
      <c r="M317" s="172">
        <f>M318+M329+M332</f>
        <v>24632.499999999996</v>
      </c>
    </row>
    <row r="318" spans="1:13" s="173" customFormat="1" ht="71.400000000000006" customHeight="1" x14ac:dyDescent="0.35">
      <c r="A318" s="168"/>
      <c r="B318" s="140" t="s">
        <v>304</v>
      </c>
      <c r="C318" s="169" t="s">
        <v>478</v>
      </c>
      <c r="D318" s="170" t="s">
        <v>39</v>
      </c>
      <c r="E318" s="170" t="s">
        <v>73</v>
      </c>
      <c r="F318" s="128" t="s">
        <v>228</v>
      </c>
      <c r="G318" s="116" t="s">
        <v>91</v>
      </c>
      <c r="H318" s="116" t="s">
        <v>39</v>
      </c>
      <c r="I318" s="117" t="s">
        <v>46</v>
      </c>
      <c r="J318" s="118"/>
      <c r="K318" s="172">
        <f>K319+K323+K327</f>
        <v>23948.6</v>
      </c>
      <c r="L318" s="172">
        <f>L319+L323+L327</f>
        <v>0</v>
      </c>
      <c r="M318" s="172">
        <f>M319+M323+M327</f>
        <v>23948.6</v>
      </c>
    </row>
    <row r="319" spans="1:13" s="167" customFormat="1" ht="37.5" customHeight="1" x14ac:dyDescent="0.35">
      <c r="A319" s="168"/>
      <c r="B319" s="140" t="s">
        <v>49</v>
      </c>
      <c r="C319" s="169" t="s">
        <v>478</v>
      </c>
      <c r="D319" s="170" t="s">
        <v>39</v>
      </c>
      <c r="E319" s="170" t="s">
        <v>73</v>
      </c>
      <c r="F319" s="177" t="s">
        <v>228</v>
      </c>
      <c r="G319" s="175" t="s">
        <v>91</v>
      </c>
      <c r="H319" s="175" t="s">
        <v>39</v>
      </c>
      <c r="I319" s="176" t="s">
        <v>50</v>
      </c>
      <c r="J319" s="118"/>
      <c r="K319" s="172">
        <f>K320+K321+K322</f>
        <v>15075.9</v>
      </c>
      <c r="L319" s="172">
        <f>L320+L321+L322</f>
        <v>0</v>
      </c>
      <c r="M319" s="172">
        <f>M320+M321+M322</f>
        <v>15075.9</v>
      </c>
    </row>
    <row r="320" spans="1:13" s="173" customFormat="1" ht="103.95" customHeight="1" x14ac:dyDescent="0.35">
      <c r="A320" s="168"/>
      <c r="B320" s="140" t="s">
        <v>51</v>
      </c>
      <c r="C320" s="169" t="s">
        <v>478</v>
      </c>
      <c r="D320" s="170" t="s">
        <v>39</v>
      </c>
      <c r="E320" s="170" t="s">
        <v>73</v>
      </c>
      <c r="F320" s="128" t="s">
        <v>228</v>
      </c>
      <c r="G320" s="116" t="s">
        <v>91</v>
      </c>
      <c r="H320" s="116" t="s">
        <v>39</v>
      </c>
      <c r="I320" s="117" t="s">
        <v>50</v>
      </c>
      <c r="J320" s="118" t="s">
        <v>52</v>
      </c>
      <c r="K320" s="172">
        <f>12567.3+2152.9</f>
        <v>14720.199999999999</v>
      </c>
      <c r="L320" s="33">
        <f>M320-K320</f>
        <v>0</v>
      </c>
      <c r="M320" s="172">
        <f>12567.3+2152.9</f>
        <v>14720.199999999999</v>
      </c>
    </row>
    <row r="321" spans="1:14" s="173" customFormat="1" ht="56.25" customHeight="1" x14ac:dyDescent="0.35">
      <c r="A321" s="168"/>
      <c r="B321" s="135" t="s">
        <v>57</v>
      </c>
      <c r="C321" s="169" t="s">
        <v>478</v>
      </c>
      <c r="D321" s="170" t="s">
        <v>39</v>
      </c>
      <c r="E321" s="170" t="s">
        <v>73</v>
      </c>
      <c r="F321" s="128" t="s">
        <v>228</v>
      </c>
      <c r="G321" s="116" t="s">
        <v>91</v>
      </c>
      <c r="H321" s="116" t="s">
        <v>39</v>
      </c>
      <c r="I321" s="117" t="s">
        <v>50</v>
      </c>
      <c r="J321" s="118" t="s">
        <v>58</v>
      </c>
      <c r="K321" s="172">
        <f>364.5-10</f>
        <v>354.5</v>
      </c>
      <c r="L321" s="33">
        <f>M321-K321</f>
        <v>0</v>
      </c>
      <c r="M321" s="172">
        <f>364.5-10</f>
        <v>354.5</v>
      </c>
      <c r="N321" s="207"/>
    </row>
    <row r="322" spans="1:14" s="173" customFormat="1" ht="18.75" customHeight="1" x14ac:dyDescent="0.35">
      <c r="A322" s="168"/>
      <c r="B322" s="140" t="s">
        <v>59</v>
      </c>
      <c r="C322" s="169" t="s">
        <v>478</v>
      </c>
      <c r="D322" s="170" t="s">
        <v>39</v>
      </c>
      <c r="E322" s="170" t="s">
        <v>73</v>
      </c>
      <c r="F322" s="128" t="s">
        <v>228</v>
      </c>
      <c r="G322" s="116" t="s">
        <v>91</v>
      </c>
      <c r="H322" s="116" t="s">
        <v>39</v>
      </c>
      <c r="I322" s="117" t="s">
        <v>50</v>
      </c>
      <c r="J322" s="118" t="s">
        <v>60</v>
      </c>
      <c r="K322" s="172">
        <v>1.2</v>
      </c>
      <c r="L322" s="33">
        <f>M322-K322</f>
        <v>0</v>
      </c>
      <c r="M322" s="172">
        <v>1.2</v>
      </c>
    </row>
    <row r="323" spans="1:14" s="173" customFormat="1" ht="36" customHeight="1" x14ac:dyDescent="0.35">
      <c r="A323" s="168"/>
      <c r="B323" s="34" t="s">
        <v>540</v>
      </c>
      <c r="C323" s="169" t="s">
        <v>478</v>
      </c>
      <c r="D323" s="170" t="s">
        <v>39</v>
      </c>
      <c r="E323" s="170" t="s">
        <v>73</v>
      </c>
      <c r="F323" s="128" t="s">
        <v>228</v>
      </c>
      <c r="G323" s="116" t="s">
        <v>91</v>
      </c>
      <c r="H323" s="116" t="s">
        <v>39</v>
      </c>
      <c r="I323" s="117" t="s">
        <v>93</v>
      </c>
      <c r="J323" s="118"/>
      <c r="K323" s="172">
        <f>K324+K325+K326</f>
        <v>8803.6999999999971</v>
      </c>
      <c r="L323" s="172">
        <f>L324+L325+L326</f>
        <v>0</v>
      </c>
      <c r="M323" s="172">
        <f>M324+M325+M326</f>
        <v>8803.6999999999971</v>
      </c>
      <c r="N323" s="207"/>
    </row>
    <row r="324" spans="1:14" s="173" customFormat="1" ht="112.5" customHeight="1" x14ac:dyDescent="0.35">
      <c r="A324" s="168"/>
      <c r="B324" s="140" t="s">
        <v>51</v>
      </c>
      <c r="C324" s="169" t="s">
        <v>478</v>
      </c>
      <c r="D324" s="170" t="s">
        <v>39</v>
      </c>
      <c r="E324" s="170" t="s">
        <v>73</v>
      </c>
      <c r="F324" s="128" t="s">
        <v>228</v>
      </c>
      <c r="G324" s="116" t="s">
        <v>91</v>
      </c>
      <c r="H324" s="116" t="s">
        <v>39</v>
      </c>
      <c r="I324" s="117" t="s">
        <v>93</v>
      </c>
      <c r="J324" s="118" t="s">
        <v>52</v>
      </c>
      <c r="K324" s="172">
        <f>8124.7+14.4+326</f>
        <v>8465.0999999999985</v>
      </c>
      <c r="L324" s="33">
        <f>M324-K324</f>
        <v>0</v>
      </c>
      <c r="M324" s="172">
        <f>8124.7+14.4+326</f>
        <v>8465.0999999999985</v>
      </c>
      <c r="N324" s="207"/>
    </row>
    <row r="325" spans="1:14" s="173" customFormat="1" ht="56.25" customHeight="1" x14ac:dyDescent="0.35">
      <c r="A325" s="168"/>
      <c r="B325" s="135" t="s">
        <v>57</v>
      </c>
      <c r="C325" s="169" t="s">
        <v>478</v>
      </c>
      <c r="D325" s="170" t="s">
        <v>39</v>
      </c>
      <c r="E325" s="170" t="s">
        <v>73</v>
      </c>
      <c r="F325" s="177" t="s">
        <v>228</v>
      </c>
      <c r="G325" s="175" t="s">
        <v>91</v>
      </c>
      <c r="H325" s="175" t="s">
        <v>39</v>
      </c>
      <c r="I325" s="176" t="s">
        <v>93</v>
      </c>
      <c r="J325" s="118" t="s">
        <v>58</v>
      </c>
      <c r="K325" s="172">
        <v>318.3</v>
      </c>
      <c r="L325" s="33">
        <f>M325-K325</f>
        <v>0</v>
      </c>
      <c r="M325" s="172">
        <v>318.3</v>
      </c>
    </row>
    <row r="326" spans="1:14" s="173" customFormat="1" ht="18.75" customHeight="1" x14ac:dyDescent="0.35">
      <c r="A326" s="168"/>
      <c r="B326" s="140" t="s">
        <v>59</v>
      </c>
      <c r="C326" s="169" t="s">
        <v>478</v>
      </c>
      <c r="D326" s="170" t="s">
        <v>39</v>
      </c>
      <c r="E326" s="170" t="s">
        <v>73</v>
      </c>
      <c r="F326" s="128" t="s">
        <v>228</v>
      </c>
      <c r="G326" s="116" t="s">
        <v>91</v>
      </c>
      <c r="H326" s="116" t="s">
        <v>39</v>
      </c>
      <c r="I326" s="117" t="s">
        <v>93</v>
      </c>
      <c r="J326" s="118" t="s">
        <v>60</v>
      </c>
      <c r="K326" s="172">
        <v>20.3</v>
      </c>
      <c r="L326" s="33">
        <f>M326-K326</f>
        <v>0</v>
      </c>
      <c r="M326" s="172">
        <v>20.3</v>
      </c>
      <c r="N326" s="207"/>
    </row>
    <row r="327" spans="1:14" s="173" customFormat="1" ht="56.25" customHeight="1" x14ac:dyDescent="0.35">
      <c r="A327" s="168"/>
      <c r="B327" s="135" t="s">
        <v>363</v>
      </c>
      <c r="C327" s="224" t="s">
        <v>478</v>
      </c>
      <c r="D327" s="365" t="s">
        <v>39</v>
      </c>
      <c r="E327" s="365" t="s">
        <v>73</v>
      </c>
      <c r="F327" s="128" t="s">
        <v>228</v>
      </c>
      <c r="G327" s="116" t="s">
        <v>91</v>
      </c>
      <c r="H327" s="116" t="s">
        <v>39</v>
      </c>
      <c r="I327" s="117" t="s">
        <v>362</v>
      </c>
      <c r="J327" s="118"/>
      <c r="K327" s="172">
        <f>K328</f>
        <v>69</v>
      </c>
      <c r="L327" s="172">
        <f>L328</f>
        <v>0</v>
      </c>
      <c r="M327" s="172">
        <f>M328</f>
        <v>69</v>
      </c>
      <c r="N327" s="207"/>
    </row>
    <row r="328" spans="1:14" s="173" customFormat="1" ht="56.25" customHeight="1" x14ac:dyDescent="0.35">
      <c r="A328" s="168"/>
      <c r="B328" s="452" t="s">
        <v>57</v>
      </c>
      <c r="C328" s="453" t="s">
        <v>478</v>
      </c>
      <c r="D328" s="454" t="s">
        <v>39</v>
      </c>
      <c r="E328" s="454" t="s">
        <v>73</v>
      </c>
      <c r="F328" s="179" t="s">
        <v>228</v>
      </c>
      <c r="G328" s="116" t="s">
        <v>91</v>
      </c>
      <c r="H328" s="116" t="s">
        <v>39</v>
      </c>
      <c r="I328" s="364" t="s">
        <v>362</v>
      </c>
      <c r="J328" s="118" t="s">
        <v>58</v>
      </c>
      <c r="K328" s="172">
        <v>69</v>
      </c>
      <c r="L328" s="33">
        <f>M328-K328</f>
        <v>0</v>
      </c>
      <c r="M328" s="172">
        <v>69</v>
      </c>
      <c r="N328" s="207"/>
    </row>
    <row r="329" spans="1:14" s="215" customFormat="1" ht="37.5" customHeight="1" x14ac:dyDescent="0.35">
      <c r="A329" s="209"/>
      <c r="B329" s="210" t="s">
        <v>360</v>
      </c>
      <c r="C329" s="211" t="s">
        <v>478</v>
      </c>
      <c r="D329" s="212" t="s">
        <v>39</v>
      </c>
      <c r="E329" s="212" t="s">
        <v>73</v>
      </c>
      <c r="F329" s="128" t="s">
        <v>228</v>
      </c>
      <c r="G329" s="129" t="s">
        <v>91</v>
      </c>
      <c r="H329" s="129" t="s">
        <v>41</v>
      </c>
      <c r="I329" s="130" t="s">
        <v>46</v>
      </c>
      <c r="J329" s="131"/>
      <c r="K329" s="213">
        <f t="shared" ref="K329:M330" si="61">K330</f>
        <v>669.1</v>
      </c>
      <c r="L329" s="213">
        <f t="shared" si="61"/>
        <v>0</v>
      </c>
      <c r="M329" s="213">
        <f t="shared" si="61"/>
        <v>669.1</v>
      </c>
      <c r="N329" s="214"/>
    </row>
    <row r="330" spans="1:14" s="215" customFormat="1" ht="60.75" customHeight="1" x14ac:dyDescent="0.35">
      <c r="A330" s="216"/>
      <c r="B330" s="217" t="s">
        <v>361</v>
      </c>
      <c r="C330" s="169" t="s">
        <v>478</v>
      </c>
      <c r="D330" s="170" t="s">
        <v>39</v>
      </c>
      <c r="E330" s="170" t="s">
        <v>73</v>
      </c>
      <c r="F330" s="179" t="s">
        <v>228</v>
      </c>
      <c r="G330" s="129" t="s">
        <v>91</v>
      </c>
      <c r="H330" s="129" t="s">
        <v>41</v>
      </c>
      <c r="I330" s="130" t="s">
        <v>107</v>
      </c>
      <c r="J330" s="132"/>
      <c r="K330" s="218">
        <f t="shared" si="61"/>
        <v>669.1</v>
      </c>
      <c r="L330" s="218">
        <f t="shared" si="61"/>
        <v>0</v>
      </c>
      <c r="M330" s="218">
        <f t="shared" si="61"/>
        <v>669.1</v>
      </c>
      <c r="N330" s="214"/>
    </row>
    <row r="331" spans="1:14" s="215" customFormat="1" ht="56.25" customHeight="1" x14ac:dyDescent="0.35">
      <c r="A331" s="216"/>
      <c r="B331" s="219" t="s">
        <v>57</v>
      </c>
      <c r="C331" s="169" t="s">
        <v>478</v>
      </c>
      <c r="D331" s="170" t="s">
        <v>39</v>
      </c>
      <c r="E331" s="170" t="s">
        <v>73</v>
      </c>
      <c r="F331" s="179" t="s">
        <v>228</v>
      </c>
      <c r="G331" s="134" t="s">
        <v>91</v>
      </c>
      <c r="H331" s="134" t="s">
        <v>41</v>
      </c>
      <c r="I331" s="220" t="s">
        <v>107</v>
      </c>
      <c r="J331" s="221" t="s">
        <v>58</v>
      </c>
      <c r="K331" s="343">
        <f>669.1</f>
        <v>669.1</v>
      </c>
      <c r="L331" s="33">
        <f>M331-K331</f>
        <v>0</v>
      </c>
      <c r="M331" s="343">
        <f>669.1</f>
        <v>669.1</v>
      </c>
      <c r="N331" s="214"/>
    </row>
    <row r="332" spans="1:14" s="215" customFormat="1" ht="37.5" customHeight="1" x14ac:dyDescent="0.35">
      <c r="A332" s="216"/>
      <c r="B332" s="222" t="s">
        <v>385</v>
      </c>
      <c r="C332" s="169" t="s">
        <v>478</v>
      </c>
      <c r="D332" s="170" t="s">
        <v>39</v>
      </c>
      <c r="E332" s="170" t="s">
        <v>73</v>
      </c>
      <c r="F332" s="179" t="s">
        <v>228</v>
      </c>
      <c r="G332" s="129" t="s">
        <v>91</v>
      </c>
      <c r="H332" s="129" t="s">
        <v>65</v>
      </c>
      <c r="I332" s="130" t="s">
        <v>46</v>
      </c>
      <c r="J332" s="132"/>
      <c r="K332" s="218">
        <f t="shared" ref="K332:M332" si="62">K333</f>
        <v>14.8</v>
      </c>
      <c r="L332" s="218">
        <f t="shared" si="62"/>
        <v>0</v>
      </c>
      <c r="M332" s="218">
        <f t="shared" si="62"/>
        <v>14.8</v>
      </c>
      <c r="N332" s="214"/>
    </row>
    <row r="333" spans="1:14" s="215" customFormat="1" ht="37.5" customHeight="1" x14ac:dyDescent="0.35">
      <c r="A333" s="216"/>
      <c r="B333" s="222" t="s">
        <v>343</v>
      </c>
      <c r="C333" s="169" t="s">
        <v>478</v>
      </c>
      <c r="D333" s="170" t="s">
        <v>39</v>
      </c>
      <c r="E333" s="170" t="s">
        <v>73</v>
      </c>
      <c r="F333" s="133" t="s">
        <v>228</v>
      </c>
      <c r="G333" s="134" t="s">
        <v>91</v>
      </c>
      <c r="H333" s="134" t="s">
        <v>65</v>
      </c>
      <c r="I333" s="220" t="s">
        <v>342</v>
      </c>
      <c r="J333" s="132"/>
      <c r="K333" s="218">
        <f>K334</f>
        <v>14.8</v>
      </c>
      <c r="L333" s="218">
        <f>L334</f>
        <v>0</v>
      </c>
      <c r="M333" s="218">
        <f>M334</f>
        <v>14.8</v>
      </c>
      <c r="N333" s="214"/>
    </row>
    <row r="334" spans="1:14" s="215" customFormat="1" ht="18.75" customHeight="1" x14ac:dyDescent="0.35">
      <c r="A334" s="223"/>
      <c r="B334" s="140" t="s">
        <v>59</v>
      </c>
      <c r="C334" s="224" t="s">
        <v>478</v>
      </c>
      <c r="D334" s="170" t="s">
        <v>39</v>
      </c>
      <c r="E334" s="170" t="s">
        <v>73</v>
      </c>
      <c r="F334" s="128" t="s">
        <v>228</v>
      </c>
      <c r="G334" s="129" t="s">
        <v>91</v>
      </c>
      <c r="H334" s="129" t="s">
        <v>65</v>
      </c>
      <c r="I334" s="130" t="s">
        <v>342</v>
      </c>
      <c r="J334" s="132" t="s">
        <v>60</v>
      </c>
      <c r="K334" s="343">
        <v>14.8</v>
      </c>
      <c r="L334" s="33">
        <f>M334-K334</f>
        <v>0</v>
      </c>
      <c r="M334" s="343">
        <v>14.8</v>
      </c>
      <c r="N334" s="214"/>
    </row>
    <row r="335" spans="1:14" s="215" customFormat="1" ht="37.5" customHeight="1" x14ac:dyDescent="0.35">
      <c r="A335" s="223"/>
      <c r="B335" s="178" t="s">
        <v>345</v>
      </c>
      <c r="C335" s="224" t="s">
        <v>478</v>
      </c>
      <c r="D335" s="170" t="s">
        <v>39</v>
      </c>
      <c r="E335" s="170" t="s">
        <v>73</v>
      </c>
      <c r="F335" s="128" t="s">
        <v>228</v>
      </c>
      <c r="G335" s="129" t="s">
        <v>32</v>
      </c>
      <c r="H335" s="129" t="s">
        <v>45</v>
      </c>
      <c r="I335" s="130" t="s">
        <v>46</v>
      </c>
      <c r="J335" s="132"/>
      <c r="K335" s="610">
        <f>K336+K339</f>
        <v>13973.9</v>
      </c>
      <c r="L335" s="610">
        <f>L336+L339</f>
        <v>629.09999999999991</v>
      </c>
      <c r="M335" s="610">
        <f>M336+M339</f>
        <v>14603</v>
      </c>
      <c r="N335" s="214"/>
    </row>
    <row r="336" spans="1:14" s="215" customFormat="1" ht="18" x14ac:dyDescent="0.35">
      <c r="A336" s="223"/>
      <c r="B336" s="178" t="s">
        <v>693</v>
      </c>
      <c r="C336" s="224" t="s">
        <v>478</v>
      </c>
      <c r="D336" s="170" t="s">
        <v>39</v>
      </c>
      <c r="E336" s="170" t="s">
        <v>73</v>
      </c>
      <c r="F336" s="128" t="s">
        <v>228</v>
      </c>
      <c r="G336" s="129" t="s">
        <v>32</v>
      </c>
      <c r="H336" s="129" t="s">
        <v>54</v>
      </c>
      <c r="I336" s="130" t="s">
        <v>46</v>
      </c>
      <c r="J336" s="132"/>
      <c r="K336" s="610">
        <f t="shared" ref="K336:M337" si="63">K337</f>
        <v>13927</v>
      </c>
      <c r="L336" s="610">
        <f t="shared" si="63"/>
        <v>0</v>
      </c>
      <c r="M336" s="610">
        <f t="shared" si="63"/>
        <v>13927</v>
      </c>
      <c r="N336" s="214"/>
    </row>
    <row r="337" spans="1:14" s="215" customFormat="1" ht="37.5" customHeight="1" x14ac:dyDescent="0.35">
      <c r="A337" s="223"/>
      <c r="B337" s="178" t="s">
        <v>694</v>
      </c>
      <c r="C337" s="224" t="s">
        <v>478</v>
      </c>
      <c r="D337" s="170" t="s">
        <v>39</v>
      </c>
      <c r="E337" s="170" t="s">
        <v>73</v>
      </c>
      <c r="F337" s="128" t="s">
        <v>228</v>
      </c>
      <c r="G337" s="129" t="s">
        <v>32</v>
      </c>
      <c r="H337" s="129" t="s">
        <v>54</v>
      </c>
      <c r="I337" s="130" t="s">
        <v>692</v>
      </c>
      <c r="J337" s="132"/>
      <c r="K337" s="610">
        <f>K338</f>
        <v>13927</v>
      </c>
      <c r="L337" s="610">
        <f t="shared" si="63"/>
        <v>0</v>
      </c>
      <c r="M337" s="610">
        <f>M338</f>
        <v>13927</v>
      </c>
      <c r="N337" s="214"/>
    </row>
    <row r="338" spans="1:14" s="215" customFormat="1" ht="18" x14ac:dyDescent="0.35">
      <c r="A338" s="223"/>
      <c r="B338" s="140" t="s">
        <v>59</v>
      </c>
      <c r="C338" s="224" t="s">
        <v>478</v>
      </c>
      <c r="D338" s="170" t="s">
        <v>39</v>
      </c>
      <c r="E338" s="170" t="s">
        <v>73</v>
      </c>
      <c r="F338" s="128" t="s">
        <v>228</v>
      </c>
      <c r="G338" s="129" t="s">
        <v>32</v>
      </c>
      <c r="H338" s="129" t="s">
        <v>54</v>
      </c>
      <c r="I338" s="130" t="s">
        <v>692</v>
      </c>
      <c r="J338" s="132" t="s">
        <v>60</v>
      </c>
      <c r="K338" s="610">
        <f>3500+427+10000</f>
        <v>13927</v>
      </c>
      <c r="L338" s="33">
        <f>M338-K338</f>
        <v>0</v>
      </c>
      <c r="M338" s="610">
        <f>3500+427+10000</f>
        <v>13927</v>
      </c>
      <c r="N338" s="214"/>
    </row>
    <row r="339" spans="1:14" s="215" customFormat="1" ht="36" x14ac:dyDescent="0.35">
      <c r="A339" s="223"/>
      <c r="B339" s="178" t="s">
        <v>385</v>
      </c>
      <c r="C339" s="224" t="s">
        <v>478</v>
      </c>
      <c r="D339" s="170" t="s">
        <v>39</v>
      </c>
      <c r="E339" s="170" t="s">
        <v>73</v>
      </c>
      <c r="F339" s="128" t="s">
        <v>228</v>
      </c>
      <c r="G339" s="129" t="s">
        <v>32</v>
      </c>
      <c r="H339" s="129" t="s">
        <v>228</v>
      </c>
      <c r="I339" s="130" t="s">
        <v>46</v>
      </c>
      <c r="J339" s="632"/>
      <c r="K339" s="610">
        <f t="shared" ref="K339:M340" si="64">K340</f>
        <v>46.9</v>
      </c>
      <c r="L339" s="33">
        <f t="shared" si="64"/>
        <v>629.09999999999991</v>
      </c>
      <c r="M339" s="610">
        <f t="shared" si="64"/>
        <v>675.99999999999989</v>
      </c>
      <c r="N339" s="214"/>
    </row>
    <row r="340" spans="1:14" s="215" customFormat="1" ht="36" x14ac:dyDescent="0.35">
      <c r="A340" s="223"/>
      <c r="B340" s="222" t="s">
        <v>343</v>
      </c>
      <c r="C340" s="224" t="s">
        <v>478</v>
      </c>
      <c r="D340" s="170" t="s">
        <v>39</v>
      </c>
      <c r="E340" s="170" t="s">
        <v>73</v>
      </c>
      <c r="F340" s="128" t="s">
        <v>228</v>
      </c>
      <c r="G340" s="129" t="s">
        <v>32</v>
      </c>
      <c r="H340" s="129" t="s">
        <v>228</v>
      </c>
      <c r="I340" s="130" t="s">
        <v>342</v>
      </c>
      <c r="J340" s="632"/>
      <c r="K340" s="610">
        <f t="shared" si="64"/>
        <v>46.9</v>
      </c>
      <c r="L340" s="33">
        <f t="shared" si="64"/>
        <v>629.09999999999991</v>
      </c>
      <c r="M340" s="610">
        <f t="shared" si="64"/>
        <v>675.99999999999989</v>
      </c>
      <c r="N340" s="214"/>
    </row>
    <row r="341" spans="1:14" s="215" customFormat="1" ht="54" x14ac:dyDescent="0.35">
      <c r="A341" s="223"/>
      <c r="B341" s="135" t="s">
        <v>57</v>
      </c>
      <c r="C341" s="224" t="s">
        <v>478</v>
      </c>
      <c r="D341" s="170" t="s">
        <v>39</v>
      </c>
      <c r="E341" s="170" t="s">
        <v>73</v>
      </c>
      <c r="F341" s="128" t="s">
        <v>228</v>
      </c>
      <c r="G341" s="129" t="s">
        <v>32</v>
      </c>
      <c r="H341" s="129" t="s">
        <v>228</v>
      </c>
      <c r="I341" s="130" t="s">
        <v>342</v>
      </c>
      <c r="J341" s="632" t="s">
        <v>58</v>
      </c>
      <c r="K341" s="610">
        <v>46.9</v>
      </c>
      <c r="L341" s="33">
        <f>M341-K341</f>
        <v>629.09999999999991</v>
      </c>
      <c r="M341" s="610">
        <f>46.9+516.8+112.3</f>
        <v>675.99999999999989</v>
      </c>
      <c r="N341" s="214"/>
    </row>
    <row r="342" spans="1:14" s="173" customFormat="1" ht="61.5" customHeight="1" x14ac:dyDescent="0.35">
      <c r="A342" s="168"/>
      <c r="B342" s="178" t="s">
        <v>42</v>
      </c>
      <c r="C342" s="169" t="s">
        <v>478</v>
      </c>
      <c r="D342" s="170" t="s">
        <v>39</v>
      </c>
      <c r="E342" s="170" t="s">
        <v>73</v>
      </c>
      <c r="F342" s="179" t="s">
        <v>43</v>
      </c>
      <c r="G342" s="116" t="s">
        <v>44</v>
      </c>
      <c r="H342" s="116" t="s">
        <v>45</v>
      </c>
      <c r="I342" s="117" t="s">
        <v>46</v>
      </c>
      <c r="J342" s="118"/>
      <c r="K342" s="350">
        <f t="shared" ref="K342:M344" si="65">K343</f>
        <v>5965.0000000000009</v>
      </c>
      <c r="L342" s="350">
        <f t="shared" si="65"/>
        <v>0</v>
      </c>
      <c r="M342" s="350">
        <f t="shared" si="65"/>
        <v>5965.0000000000009</v>
      </c>
      <c r="N342" s="207"/>
    </row>
    <row r="343" spans="1:14" s="173" customFormat="1" ht="37.5" customHeight="1" x14ac:dyDescent="0.35">
      <c r="A343" s="168"/>
      <c r="B343" s="135" t="s">
        <v>345</v>
      </c>
      <c r="C343" s="169" t="s">
        <v>478</v>
      </c>
      <c r="D343" s="170" t="s">
        <v>39</v>
      </c>
      <c r="E343" s="170" t="s">
        <v>73</v>
      </c>
      <c r="F343" s="128" t="s">
        <v>43</v>
      </c>
      <c r="G343" s="116" t="s">
        <v>47</v>
      </c>
      <c r="H343" s="116" t="s">
        <v>45</v>
      </c>
      <c r="I343" s="117" t="s">
        <v>46</v>
      </c>
      <c r="J343" s="118"/>
      <c r="K343" s="172">
        <f t="shared" si="65"/>
        <v>5965.0000000000009</v>
      </c>
      <c r="L343" s="172">
        <f t="shared" si="65"/>
        <v>0</v>
      </c>
      <c r="M343" s="172">
        <f t="shared" si="65"/>
        <v>5965.0000000000009</v>
      </c>
      <c r="N343" s="207"/>
    </row>
    <row r="344" spans="1:14" s="173" customFormat="1" ht="75" customHeight="1" x14ac:dyDescent="0.35">
      <c r="A344" s="168"/>
      <c r="B344" s="140" t="s">
        <v>302</v>
      </c>
      <c r="C344" s="169" t="s">
        <v>478</v>
      </c>
      <c r="D344" s="170" t="s">
        <v>39</v>
      </c>
      <c r="E344" s="170" t="s">
        <v>73</v>
      </c>
      <c r="F344" s="128" t="s">
        <v>43</v>
      </c>
      <c r="G344" s="116" t="s">
        <v>47</v>
      </c>
      <c r="H344" s="116" t="s">
        <v>83</v>
      </c>
      <c r="I344" s="117" t="s">
        <v>46</v>
      </c>
      <c r="J344" s="118"/>
      <c r="K344" s="172">
        <f t="shared" si="65"/>
        <v>5965.0000000000009</v>
      </c>
      <c r="L344" s="172">
        <f t="shared" si="65"/>
        <v>0</v>
      </c>
      <c r="M344" s="172">
        <f t="shared" si="65"/>
        <v>5965.0000000000009</v>
      </c>
      <c r="N344" s="207"/>
    </row>
    <row r="345" spans="1:14" s="173" customFormat="1" ht="37.5" customHeight="1" x14ac:dyDescent="0.35">
      <c r="A345" s="168"/>
      <c r="B345" s="34" t="s">
        <v>540</v>
      </c>
      <c r="C345" s="169" t="s">
        <v>478</v>
      </c>
      <c r="D345" s="170" t="s">
        <v>39</v>
      </c>
      <c r="E345" s="170" t="s">
        <v>73</v>
      </c>
      <c r="F345" s="128" t="s">
        <v>43</v>
      </c>
      <c r="G345" s="116" t="s">
        <v>47</v>
      </c>
      <c r="H345" s="116" t="s">
        <v>83</v>
      </c>
      <c r="I345" s="117" t="s">
        <v>93</v>
      </c>
      <c r="J345" s="118"/>
      <c r="K345" s="373">
        <f>K346+K347</f>
        <v>5965.0000000000009</v>
      </c>
      <c r="L345" s="373">
        <f>L346+L347</f>
        <v>0</v>
      </c>
      <c r="M345" s="373">
        <f>M346+M347</f>
        <v>5965.0000000000009</v>
      </c>
      <c r="N345" s="207"/>
    </row>
    <row r="346" spans="1:14" s="173" customFormat="1" ht="112.5" customHeight="1" x14ac:dyDescent="0.35">
      <c r="A346" s="168"/>
      <c r="B346" s="140" t="s">
        <v>51</v>
      </c>
      <c r="C346" s="169" t="s">
        <v>478</v>
      </c>
      <c r="D346" s="170" t="s">
        <v>39</v>
      </c>
      <c r="E346" s="170" t="s">
        <v>73</v>
      </c>
      <c r="F346" s="128" t="s">
        <v>43</v>
      </c>
      <c r="G346" s="116" t="s">
        <v>47</v>
      </c>
      <c r="H346" s="116" t="s">
        <v>83</v>
      </c>
      <c r="I346" s="117" t="s">
        <v>93</v>
      </c>
      <c r="J346" s="118" t="s">
        <v>52</v>
      </c>
      <c r="K346" s="344">
        <f>4593.1+184+717.3</f>
        <v>5494.4000000000005</v>
      </c>
      <c r="L346" s="33">
        <f>M346-K346</f>
        <v>0</v>
      </c>
      <c r="M346" s="344">
        <f>4593.1+184+717.3</f>
        <v>5494.4000000000005</v>
      </c>
      <c r="N346" s="207"/>
    </row>
    <row r="347" spans="1:14" s="173" customFormat="1" ht="56.25" customHeight="1" x14ac:dyDescent="0.35">
      <c r="A347" s="168"/>
      <c r="B347" s="135" t="s">
        <v>57</v>
      </c>
      <c r="C347" s="169" t="s">
        <v>478</v>
      </c>
      <c r="D347" s="170" t="s">
        <v>39</v>
      </c>
      <c r="E347" s="170" t="s">
        <v>73</v>
      </c>
      <c r="F347" s="128" t="s">
        <v>43</v>
      </c>
      <c r="G347" s="116" t="s">
        <v>47</v>
      </c>
      <c r="H347" s="116" t="s">
        <v>83</v>
      </c>
      <c r="I347" s="117" t="s">
        <v>93</v>
      </c>
      <c r="J347" s="118" t="s">
        <v>58</v>
      </c>
      <c r="K347" s="344">
        <v>470.6</v>
      </c>
      <c r="L347" s="33">
        <f>M347-K347</f>
        <v>0</v>
      </c>
      <c r="M347" s="344">
        <v>470.6</v>
      </c>
      <c r="N347" s="207"/>
    </row>
    <row r="348" spans="1:14" s="173" customFormat="1" ht="18.75" customHeight="1" x14ac:dyDescent="0.35">
      <c r="A348" s="168"/>
      <c r="B348" s="135" t="s">
        <v>94</v>
      </c>
      <c r="C348" s="169" t="s">
        <v>478</v>
      </c>
      <c r="D348" s="170" t="s">
        <v>54</v>
      </c>
      <c r="E348" s="170"/>
      <c r="F348" s="128"/>
      <c r="G348" s="116"/>
      <c r="H348" s="116"/>
      <c r="I348" s="117"/>
      <c r="J348" s="118"/>
      <c r="K348" s="172">
        <f t="shared" ref="K348:M353" si="66">K349</f>
        <v>2118.6999999999998</v>
      </c>
      <c r="L348" s="172">
        <f t="shared" si="66"/>
        <v>0</v>
      </c>
      <c r="M348" s="172">
        <f t="shared" si="66"/>
        <v>2118.6999999999998</v>
      </c>
      <c r="N348" s="207"/>
    </row>
    <row r="349" spans="1:14" s="173" customFormat="1" ht="37.5" customHeight="1" x14ac:dyDescent="0.35">
      <c r="A349" s="168"/>
      <c r="B349" s="225" t="s">
        <v>108</v>
      </c>
      <c r="C349" s="169" t="s">
        <v>478</v>
      </c>
      <c r="D349" s="170" t="s">
        <v>54</v>
      </c>
      <c r="E349" s="170" t="s">
        <v>102</v>
      </c>
      <c r="F349" s="128"/>
      <c r="G349" s="116"/>
      <c r="H349" s="116"/>
      <c r="I349" s="117"/>
      <c r="J349" s="118"/>
      <c r="K349" s="172">
        <f t="shared" si="66"/>
        <v>2118.6999999999998</v>
      </c>
      <c r="L349" s="172">
        <f t="shared" si="66"/>
        <v>0</v>
      </c>
      <c r="M349" s="172">
        <f t="shared" si="66"/>
        <v>2118.6999999999998</v>
      </c>
      <c r="N349" s="207"/>
    </row>
    <row r="350" spans="1:14" s="173" customFormat="1" ht="56.25" customHeight="1" x14ac:dyDescent="0.35">
      <c r="A350" s="168"/>
      <c r="B350" s="140" t="s">
        <v>227</v>
      </c>
      <c r="C350" s="169" t="s">
        <v>478</v>
      </c>
      <c r="D350" s="170" t="s">
        <v>54</v>
      </c>
      <c r="E350" s="170" t="s">
        <v>102</v>
      </c>
      <c r="F350" s="128" t="s">
        <v>228</v>
      </c>
      <c r="G350" s="116" t="s">
        <v>44</v>
      </c>
      <c r="H350" s="116" t="s">
        <v>45</v>
      </c>
      <c r="I350" s="117" t="s">
        <v>46</v>
      </c>
      <c r="J350" s="118"/>
      <c r="K350" s="172">
        <f t="shared" si="66"/>
        <v>2118.6999999999998</v>
      </c>
      <c r="L350" s="172">
        <f t="shared" si="66"/>
        <v>0</v>
      </c>
      <c r="M350" s="172">
        <f t="shared" si="66"/>
        <v>2118.6999999999998</v>
      </c>
      <c r="N350" s="207"/>
    </row>
    <row r="351" spans="1:14" s="173" customFormat="1" ht="41.25" customHeight="1" x14ac:dyDescent="0.35">
      <c r="A351" s="168"/>
      <c r="B351" s="140" t="s">
        <v>229</v>
      </c>
      <c r="C351" s="169" t="s">
        <v>478</v>
      </c>
      <c r="D351" s="170" t="s">
        <v>54</v>
      </c>
      <c r="E351" s="170" t="s">
        <v>102</v>
      </c>
      <c r="F351" s="128" t="s">
        <v>228</v>
      </c>
      <c r="G351" s="116" t="s">
        <v>47</v>
      </c>
      <c r="H351" s="116" t="s">
        <v>45</v>
      </c>
      <c r="I351" s="117" t="s">
        <v>46</v>
      </c>
      <c r="J351" s="118"/>
      <c r="K351" s="172">
        <f t="shared" si="66"/>
        <v>2118.6999999999998</v>
      </c>
      <c r="L351" s="172">
        <f t="shared" si="66"/>
        <v>0</v>
      </c>
      <c r="M351" s="172">
        <f t="shared" si="66"/>
        <v>2118.6999999999998</v>
      </c>
      <c r="N351" s="207"/>
    </row>
    <row r="352" spans="1:14" s="173" customFormat="1" ht="96.75" customHeight="1" x14ac:dyDescent="0.35">
      <c r="A352" s="168"/>
      <c r="B352" s="140" t="s">
        <v>300</v>
      </c>
      <c r="C352" s="169" t="s">
        <v>478</v>
      </c>
      <c r="D352" s="170" t="s">
        <v>54</v>
      </c>
      <c r="E352" s="170" t="s">
        <v>102</v>
      </c>
      <c r="F352" s="128" t="s">
        <v>228</v>
      </c>
      <c r="G352" s="116" t="s">
        <v>47</v>
      </c>
      <c r="H352" s="116" t="s">
        <v>39</v>
      </c>
      <c r="I352" s="117" t="s">
        <v>46</v>
      </c>
      <c r="J352" s="118"/>
      <c r="K352" s="172">
        <f t="shared" si="66"/>
        <v>2118.6999999999998</v>
      </c>
      <c r="L352" s="172">
        <f t="shared" si="66"/>
        <v>0</v>
      </c>
      <c r="M352" s="172">
        <f t="shared" si="66"/>
        <v>2118.6999999999998</v>
      </c>
      <c r="N352" s="207"/>
    </row>
    <row r="353" spans="1:14" s="173" customFormat="1" ht="37.5" customHeight="1" x14ac:dyDescent="0.35">
      <c r="A353" s="168"/>
      <c r="B353" s="140" t="s">
        <v>381</v>
      </c>
      <c r="C353" s="169" t="s">
        <v>478</v>
      </c>
      <c r="D353" s="170" t="s">
        <v>54</v>
      </c>
      <c r="E353" s="170" t="s">
        <v>102</v>
      </c>
      <c r="F353" s="128" t="s">
        <v>228</v>
      </c>
      <c r="G353" s="116" t="s">
        <v>47</v>
      </c>
      <c r="H353" s="116" t="s">
        <v>39</v>
      </c>
      <c r="I353" s="117" t="s">
        <v>380</v>
      </c>
      <c r="J353" s="118"/>
      <c r="K353" s="172">
        <f t="shared" si="66"/>
        <v>2118.6999999999998</v>
      </c>
      <c r="L353" s="172">
        <f t="shared" si="66"/>
        <v>0</v>
      </c>
      <c r="M353" s="172">
        <f t="shared" si="66"/>
        <v>2118.6999999999998</v>
      </c>
      <c r="N353" s="207"/>
    </row>
    <row r="354" spans="1:14" s="173" customFormat="1" ht="56.25" customHeight="1" x14ac:dyDescent="0.35">
      <c r="A354" s="168"/>
      <c r="B354" s="135" t="s">
        <v>57</v>
      </c>
      <c r="C354" s="169" t="s">
        <v>478</v>
      </c>
      <c r="D354" s="170" t="s">
        <v>54</v>
      </c>
      <c r="E354" s="170" t="s">
        <v>102</v>
      </c>
      <c r="F354" s="128" t="s">
        <v>228</v>
      </c>
      <c r="G354" s="116" t="s">
        <v>47</v>
      </c>
      <c r="H354" s="116" t="s">
        <v>39</v>
      </c>
      <c r="I354" s="117" t="s">
        <v>380</v>
      </c>
      <c r="J354" s="118" t="s">
        <v>58</v>
      </c>
      <c r="K354" s="172">
        <v>2118.6999999999998</v>
      </c>
      <c r="L354" s="33">
        <f>M354-K354</f>
        <v>0</v>
      </c>
      <c r="M354" s="172">
        <v>2118.6999999999998</v>
      </c>
      <c r="N354" s="207"/>
    </row>
    <row r="355" spans="1:14" s="173" customFormat="1" ht="18.75" customHeight="1" x14ac:dyDescent="0.35">
      <c r="A355" s="168"/>
      <c r="B355" s="140" t="s">
        <v>179</v>
      </c>
      <c r="C355" s="169" t="s">
        <v>478</v>
      </c>
      <c r="D355" s="170" t="s">
        <v>67</v>
      </c>
      <c r="E355" s="170"/>
      <c r="F355" s="115"/>
      <c r="G355" s="116"/>
      <c r="H355" s="116"/>
      <c r="I355" s="141"/>
      <c r="J355" s="118"/>
      <c r="K355" s="172">
        <f t="shared" ref="K355:M358" si="67">K356</f>
        <v>13384.6</v>
      </c>
      <c r="L355" s="172">
        <f t="shared" si="67"/>
        <v>0</v>
      </c>
      <c r="M355" s="172">
        <f t="shared" si="67"/>
        <v>13384.6</v>
      </c>
      <c r="N355" s="207"/>
    </row>
    <row r="356" spans="1:14" s="173" customFormat="1" ht="18.75" customHeight="1" x14ac:dyDescent="0.35">
      <c r="A356" s="168"/>
      <c r="B356" s="140" t="s">
        <v>339</v>
      </c>
      <c r="C356" s="169" t="s">
        <v>478</v>
      </c>
      <c r="D356" s="170" t="s">
        <v>67</v>
      </c>
      <c r="E356" s="170" t="s">
        <v>41</v>
      </c>
      <c r="F356" s="115"/>
      <c r="G356" s="116"/>
      <c r="H356" s="116"/>
      <c r="I356" s="141"/>
      <c r="J356" s="118"/>
      <c r="K356" s="172">
        <f t="shared" ref="K356:M357" si="68">K357</f>
        <v>13384.6</v>
      </c>
      <c r="L356" s="172">
        <f t="shared" si="68"/>
        <v>0</v>
      </c>
      <c r="M356" s="172">
        <f t="shared" si="68"/>
        <v>13384.6</v>
      </c>
      <c r="N356" s="207"/>
    </row>
    <row r="357" spans="1:14" s="173" customFormat="1" ht="78.75" customHeight="1" x14ac:dyDescent="0.35">
      <c r="A357" s="168"/>
      <c r="B357" s="180" t="s">
        <v>338</v>
      </c>
      <c r="C357" s="169" t="s">
        <v>478</v>
      </c>
      <c r="D357" s="170" t="s">
        <v>67</v>
      </c>
      <c r="E357" s="170" t="s">
        <v>41</v>
      </c>
      <c r="F357" s="115" t="s">
        <v>106</v>
      </c>
      <c r="G357" s="116" t="s">
        <v>44</v>
      </c>
      <c r="H357" s="116" t="s">
        <v>45</v>
      </c>
      <c r="I357" s="141" t="s">
        <v>46</v>
      </c>
      <c r="J357" s="118"/>
      <c r="K357" s="172">
        <f t="shared" si="68"/>
        <v>13384.6</v>
      </c>
      <c r="L357" s="172">
        <f t="shared" si="68"/>
        <v>0</v>
      </c>
      <c r="M357" s="172">
        <f t="shared" si="68"/>
        <v>13384.6</v>
      </c>
      <c r="N357" s="207"/>
    </row>
    <row r="358" spans="1:14" s="173" customFormat="1" ht="56.25" customHeight="1" x14ac:dyDescent="0.35">
      <c r="A358" s="168"/>
      <c r="B358" s="135" t="s">
        <v>340</v>
      </c>
      <c r="C358" s="169" t="s">
        <v>478</v>
      </c>
      <c r="D358" s="170" t="s">
        <v>67</v>
      </c>
      <c r="E358" s="170" t="s">
        <v>41</v>
      </c>
      <c r="F358" s="115" t="s">
        <v>106</v>
      </c>
      <c r="G358" s="116" t="s">
        <v>47</v>
      </c>
      <c r="H358" s="116" t="s">
        <v>45</v>
      </c>
      <c r="I358" s="141" t="s">
        <v>46</v>
      </c>
      <c r="J358" s="118"/>
      <c r="K358" s="172">
        <f t="shared" si="67"/>
        <v>13384.6</v>
      </c>
      <c r="L358" s="172">
        <f t="shared" si="67"/>
        <v>0</v>
      </c>
      <c r="M358" s="172">
        <f t="shared" si="67"/>
        <v>13384.6</v>
      </c>
      <c r="N358" s="207"/>
    </row>
    <row r="359" spans="1:14" s="173" customFormat="1" ht="56.25" customHeight="1" x14ac:dyDescent="0.35">
      <c r="A359" s="168"/>
      <c r="B359" s="135" t="s">
        <v>382</v>
      </c>
      <c r="C359" s="169" t="s">
        <v>478</v>
      </c>
      <c r="D359" s="170" t="s">
        <v>67</v>
      </c>
      <c r="E359" s="170" t="s">
        <v>41</v>
      </c>
      <c r="F359" s="115" t="s">
        <v>106</v>
      </c>
      <c r="G359" s="116" t="s">
        <v>47</v>
      </c>
      <c r="H359" s="116" t="s">
        <v>39</v>
      </c>
      <c r="I359" s="141" t="s">
        <v>46</v>
      </c>
      <c r="J359" s="118"/>
      <c r="K359" s="172">
        <f>K362+K360</f>
        <v>13384.6</v>
      </c>
      <c r="L359" s="172">
        <f t="shared" ref="L359" si="69">L362+L361</f>
        <v>0</v>
      </c>
      <c r="M359" s="172">
        <f>M362+M360</f>
        <v>13384.6</v>
      </c>
      <c r="N359" s="207"/>
    </row>
    <row r="360" spans="1:14" s="173" customFormat="1" ht="72" customHeight="1" x14ac:dyDescent="0.35">
      <c r="A360" s="168"/>
      <c r="B360" s="135" t="s">
        <v>742</v>
      </c>
      <c r="C360" s="169" t="s">
        <v>478</v>
      </c>
      <c r="D360" s="170" t="s">
        <v>67</v>
      </c>
      <c r="E360" s="170" t="s">
        <v>41</v>
      </c>
      <c r="F360" s="115" t="s">
        <v>106</v>
      </c>
      <c r="G360" s="116" t="s">
        <v>47</v>
      </c>
      <c r="H360" s="116" t="s">
        <v>39</v>
      </c>
      <c r="I360" s="141" t="s">
        <v>741</v>
      </c>
      <c r="J360" s="118"/>
      <c r="K360" s="172">
        <f>K361</f>
        <v>1029.7</v>
      </c>
      <c r="L360" s="172">
        <f>L361</f>
        <v>0</v>
      </c>
      <c r="M360" s="172">
        <f>M361</f>
        <v>1029.7</v>
      </c>
      <c r="N360" s="207"/>
    </row>
    <row r="361" spans="1:14" s="173" customFormat="1" ht="56.25" customHeight="1" x14ac:dyDescent="0.35">
      <c r="A361" s="168"/>
      <c r="B361" s="135" t="s">
        <v>205</v>
      </c>
      <c r="C361" s="169" t="s">
        <v>478</v>
      </c>
      <c r="D361" s="170" t="s">
        <v>67</v>
      </c>
      <c r="E361" s="170" t="s">
        <v>41</v>
      </c>
      <c r="F361" s="115" t="s">
        <v>106</v>
      </c>
      <c r="G361" s="116" t="s">
        <v>47</v>
      </c>
      <c r="H361" s="116" t="s">
        <v>39</v>
      </c>
      <c r="I361" s="141" t="s">
        <v>741</v>
      </c>
      <c r="J361" s="118" t="s">
        <v>206</v>
      </c>
      <c r="K361" s="172">
        <f>996.2+33.5</f>
        <v>1029.7</v>
      </c>
      <c r="L361" s="33">
        <f>M361-K361</f>
        <v>0</v>
      </c>
      <c r="M361" s="172">
        <f>996.2+33.5</f>
        <v>1029.7</v>
      </c>
      <c r="N361" s="207"/>
    </row>
    <row r="362" spans="1:14" s="173" customFormat="1" ht="75" customHeight="1" x14ac:dyDescent="0.35">
      <c r="A362" s="168"/>
      <c r="B362" s="135" t="s">
        <v>642</v>
      </c>
      <c r="C362" s="169" t="s">
        <v>478</v>
      </c>
      <c r="D362" s="170" t="s">
        <v>67</v>
      </c>
      <c r="E362" s="170" t="s">
        <v>41</v>
      </c>
      <c r="F362" s="115" t="s">
        <v>106</v>
      </c>
      <c r="G362" s="116" t="s">
        <v>47</v>
      </c>
      <c r="H362" s="116" t="s">
        <v>39</v>
      </c>
      <c r="I362" s="141" t="s">
        <v>479</v>
      </c>
      <c r="J362" s="118"/>
      <c r="K362" s="172">
        <f t="shared" ref="K362:M362" si="70">K363</f>
        <v>12354.9</v>
      </c>
      <c r="L362" s="172">
        <f t="shared" si="70"/>
        <v>0</v>
      </c>
      <c r="M362" s="172">
        <f t="shared" si="70"/>
        <v>12354.9</v>
      </c>
      <c r="N362" s="207"/>
    </row>
    <row r="363" spans="1:14" s="173" customFormat="1" ht="56.25" customHeight="1" x14ac:dyDescent="0.35">
      <c r="A363" s="168"/>
      <c r="B363" s="135" t="s">
        <v>205</v>
      </c>
      <c r="C363" s="169" t="s">
        <v>478</v>
      </c>
      <c r="D363" s="170" t="s">
        <v>67</v>
      </c>
      <c r="E363" s="170" t="s">
        <v>41</v>
      </c>
      <c r="F363" s="115" t="s">
        <v>106</v>
      </c>
      <c r="G363" s="116" t="s">
        <v>47</v>
      </c>
      <c r="H363" s="116" t="s">
        <v>39</v>
      </c>
      <c r="I363" s="141" t="s">
        <v>479</v>
      </c>
      <c r="J363" s="118" t="s">
        <v>206</v>
      </c>
      <c r="K363" s="172">
        <v>12354.9</v>
      </c>
      <c r="L363" s="33">
        <f>M363-K363</f>
        <v>0</v>
      </c>
      <c r="M363" s="172">
        <v>12354.9</v>
      </c>
      <c r="N363" s="207"/>
    </row>
    <row r="364" spans="1:14" s="173" customFormat="1" ht="18.75" customHeight="1" x14ac:dyDescent="0.35">
      <c r="A364" s="168"/>
      <c r="B364" s="114" t="s">
        <v>181</v>
      </c>
      <c r="C364" s="169" t="s">
        <v>478</v>
      </c>
      <c r="D364" s="170" t="s">
        <v>226</v>
      </c>
      <c r="E364" s="170"/>
      <c r="F364" s="115"/>
      <c r="G364" s="116"/>
      <c r="H364" s="116"/>
      <c r="I364" s="141"/>
      <c r="J364" s="118"/>
      <c r="K364" s="172">
        <f>K373+K365+K379</f>
        <v>131886.29999999999</v>
      </c>
      <c r="L364" s="172">
        <f>L373+L365+L379</f>
        <v>0</v>
      </c>
      <c r="M364" s="172">
        <f>M373+M365+M379</f>
        <v>131886.29999999999</v>
      </c>
      <c r="N364" s="207"/>
    </row>
    <row r="365" spans="1:14" s="173" customFormat="1" ht="18.75" customHeight="1" x14ac:dyDescent="0.35">
      <c r="A365" s="168"/>
      <c r="B365" s="114" t="s">
        <v>183</v>
      </c>
      <c r="C365" s="169" t="s">
        <v>478</v>
      </c>
      <c r="D365" s="170" t="s">
        <v>226</v>
      </c>
      <c r="E365" s="170" t="s">
        <v>39</v>
      </c>
      <c r="F365" s="115"/>
      <c r="G365" s="116"/>
      <c r="H365" s="116"/>
      <c r="I365" s="117"/>
      <c r="J365" s="118"/>
      <c r="K365" s="172">
        <f t="shared" ref="K365:M369" si="71">K366</f>
        <v>131371.79999999999</v>
      </c>
      <c r="L365" s="172">
        <f t="shared" si="71"/>
        <v>0</v>
      </c>
      <c r="M365" s="172">
        <f t="shared" si="71"/>
        <v>131371.79999999999</v>
      </c>
      <c r="N365" s="207"/>
    </row>
    <row r="366" spans="1:14" s="173" customFormat="1" ht="56.25" customHeight="1" x14ac:dyDescent="0.35">
      <c r="A366" s="168"/>
      <c r="B366" s="114" t="s">
        <v>505</v>
      </c>
      <c r="C366" s="169" t="s">
        <v>478</v>
      </c>
      <c r="D366" s="170" t="s">
        <v>226</v>
      </c>
      <c r="E366" s="170" t="s">
        <v>39</v>
      </c>
      <c r="F366" s="115" t="s">
        <v>41</v>
      </c>
      <c r="G366" s="116" t="s">
        <v>44</v>
      </c>
      <c r="H366" s="116" t="s">
        <v>45</v>
      </c>
      <c r="I366" s="117" t="s">
        <v>46</v>
      </c>
      <c r="J366" s="118"/>
      <c r="K366" s="172">
        <f t="shared" si="71"/>
        <v>131371.79999999999</v>
      </c>
      <c r="L366" s="172">
        <f t="shared" si="71"/>
        <v>0</v>
      </c>
      <c r="M366" s="172">
        <f t="shared" si="71"/>
        <v>131371.79999999999</v>
      </c>
      <c r="N366" s="207"/>
    </row>
    <row r="367" spans="1:14" s="173" customFormat="1" ht="36.6" customHeight="1" x14ac:dyDescent="0.35">
      <c r="A367" s="168"/>
      <c r="B367" s="114" t="s">
        <v>208</v>
      </c>
      <c r="C367" s="169" t="s">
        <v>478</v>
      </c>
      <c r="D367" s="170" t="s">
        <v>226</v>
      </c>
      <c r="E367" s="170" t="s">
        <v>39</v>
      </c>
      <c r="F367" s="115" t="s">
        <v>41</v>
      </c>
      <c r="G367" s="116" t="s">
        <v>47</v>
      </c>
      <c r="H367" s="116" t="s">
        <v>45</v>
      </c>
      <c r="I367" s="117" t="s">
        <v>46</v>
      </c>
      <c r="J367" s="118"/>
      <c r="K367" s="172">
        <f t="shared" si="71"/>
        <v>131371.79999999999</v>
      </c>
      <c r="L367" s="172">
        <f t="shared" si="71"/>
        <v>0</v>
      </c>
      <c r="M367" s="172">
        <f t="shared" si="71"/>
        <v>131371.79999999999</v>
      </c>
      <c r="N367" s="207"/>
    </row>
    <row r="368" spans="1:14" s="173" customFormat="1" ht="37.5" customHeight="1" x14ac:dyDescent="0.35">
      <c r="A368" s="168"/>
      <c r="B368" s="114" t="s">
        <v>269</v>
      </c>
      <c r="C368" s="169" t="s">
        <v>478</v>
      </c>
      <c r="D368" s="170" t="s">
        <v>226</v>
      </c>
      <c r="E368" s="170" t="s">
        <v>39</v>
      </c>
      <c r="F368" s="115" t="s">
        <v>41</v>
      </c>
      <c r="G368" s="116" t="s">
        <v>47</v>
      </c>
      <c r="H368" s="116" t="s">
        <v>39</v>
      </c>
      <c r="I368" s="141" t="s">
        <v>46</v>
      </c>
      <c r="J368" s="118"/>
      <c r="K368" s="172">
        <f>K369+K371</f>
        <v>131371.79999999999</v>
      </c>
      <c r="L368" s="172">
        <f>L369+L371</f>
        <v>0</v>
      </c>
      <c r="M368" s="172">
        <f>M369+M371</f>
        <v>131371.79999999999</v>
      </c>
      <c r="N368" s="207"/>
    </row>
    <row r="369" spans="1:14" s="173" customFormat="1" ht="37.5" customHeight="1" x14ac:dyDescent="0.35">
      <c r="A369" s="168"/>
      <c r="B369" s="31" t="s">
        <v>210</v>
      </c>
      <c r="C369" s="169" t="s">
        <v>478</v>
      </c>
      <c r="D369" s="170" t="s">
        <v>226</v>
      </c>
      <c r="E369" s="170" t="s">
        <v>39</v>
      </c>
      <c r="F369" s="115" t="s">
        <v>41</v>
      </c>
      <c r="G369" s="116" t="s">
        <v>47</v>
      </c>
      <c r="H369" s="116" t="s">
        <v>39</v>
      </c>
      <c r="I369" s="141" t="s">
        <v>276</v>
      </c>
      <c r="J369" s="118"/>
      <c r="K369" s="172">
        <f t="shared" si="71"/>
        <v>3892.6</v>
      </c>
      <c r="L369" s="172">
        <f t="shared" si="71"/>
        <v>0</v>
      </c>
      <c r="M369" s="172">
        <f t="shared" si="71"/>
        <v>3892.6</v>
      </c>
      <c r="N369" s="207"/>
    </row>
    <row r="370" spans="1:14" s="173" customFormat="1" ht="56.25" customHeight="1" x14ac:dyDescent="0.35">
      <c r="A370" s="168"/>
      <c r="B370" s="114" t="s">
        <v>205</v>
      </c>
      <c r="C370" s="169" t="s">
        <v>478</v>
      </c>
      <c r="D370" s="170" t="s">
        <v>226</v>
      </c>
      <c r="E370" s="170" t="s">
        <v>39</v>
      </c>
      <c r="F370" s="115" t="s">
        <v>41</v>
      </c>
      <c r="G370" s="116" t="s">
        <v>47</v>
      </c>
      <c r="H370" s="116" t="s">
        <v>39</v>
      </c>
      <c r="I370" s="141" t="s">
        <v>276</v>
      </c>
      <c r="J370" s="118" t="s">
        <v>206</v>
      </c>
      <c r="K370" s="172">
        <f>2543.4+129.4+178.4-129.4-178.4+611.6+737.6</f>
        <v>3892.6</v>
      </c>
      <c r="L370" s="33">
        <f>M370-K370</f>
        <v>0</v>
      </c>
      <c r="M370" s="172">
        <f>2543.4+129.4+178.4-129.4-178.4+611.6+737.6</f>
        <v>3892.6</v>
      </c>
      <c r="N370" s="207"/>
    </row>
    <row r="371" spans="1:14" s="173" customFormat="1" ht="108" x14ac:dyDescent="0.35">
      <c r="A371" s="168"/>
      <c r="B371" s="114" t="s">
        <v>646</v>
      </c>
      <c r="C371" s="169" t="s">
        <v>478</v>
      </c>
      <c r="D371" s="170" t="s">
        <v>226</v>
      </c>
      <c r="E371" s="170" t="s">
        <v>39</v>
      </c>
      <c r="F371" s="115" t="s">
        <v>41</v>
      </c>
      <c r="G371" s="116" t="s">
        <v>47</v>
      </c>
      <c r="H371" s="116" t="s">
        <v>39</v>
      </c>
      <c r="I371" s="141" t="s">
        <v>645</v>
      </c>
      <c r="J371" s="118"/>
      <c r="K371" s="361">
        <f>K372</f>
        <v>127479.2</v>
      </c>
      <c r="L371" s="361">
        <f>L372</f>
        <v>0</v>
      </c>
      <c r="M371" s="361">
        <f>M372</f>
        <v>127479.2</v>
      </c>
      <c r="N371" s="207"/>
    </row>
    <row r="372" spans="1:14" s="173" customFormat="1" ht="54" x14ac:dyDescent="0.35">
      <c r="A372" s="168"/>
      <c r="B372" s="114" t="s">
        <v>205</v>
      </c>
      <c r="C372" s="169" t="s">
        <v>478</v>
      </c>
      <c r="D372" s="170" t="s">
        <v>226</v>
      </c>
      <c r="E372" s="170" t="s">
        <v>39</v>
      </c>
      <c r="F372" s="115" t="s">
        <v>41</v>
      </c>
      <c r="G372" s="116" t="s">
        <v>47</v>
      </c>
      <c r="H372" s="116" t="s">
        <v>39</v>
      </c>
      <c r="I372" s="141" t="s">
        <v>645</v>
      </c>
      <c r="J372" s="118" t="s">
        <v>206</v>
      </c>
      <c r="K372" s="361">
        <f>98157.2+28442+880</f>
        <v>127479.2</v>
      </c>
      <c r="L372" s="33">
        <f>M372-K372</f>
        <v>0</v>
      </c>
      <c r="M372" s="361">
        <f>98157.2+28442+880</f>
        <v>127479.2</v>
      </c>
      <c r="N372" s="207"/>
    </row>
    <row r="373" spans="1:14" s="173" customFormat="1" ht="18.75" customHeight="1" x14ac:dyDescent="0.35">
      <c r="A373" s="168"/>
      <c r="B373" s="114" t="s">
        <v>185</v>
      </c>
      <c r="C373" s="169" t="s">
        <v>478</v>
      </c>
      <c r="D373" s="170" t="s">
        <v>226</v>
      </c>
      <c r="E373" s="170" t="s">
        <v>41</v>
      </c>
      <c r="F373" s="115"/>
      <c r="G373" s="116"/>
      <c r="H373" s="116"/>
      <c r="I373" s="141"/>
      <c r="J373" s="118"/>
      <c r="K373" s="172">
        <f t="shared" ref="K373:M377" si="72">K374</f>
        <v>504.50000000000011</v>
      </c>
      <c r="L373" s="172">
        <f t="shared" si="72"/>
        <v>0</v>
      </c>
      <c r="M373" s="172">
        <f t="shared" si="72"/>
        <v>504.50000000000011</v>
      </c>
      <c r="N373" s="207"/>
    </row>
    <row r="374" spans="1:14" s="173" customFormat="1" ht="56.25" customHeight="1" x14ac:dyDescent="0.35">
      <c r="A374" s="168"/>
      <c r="B374" s="114" t="s">
        <v>207</v>
      </c>
      <c r="C374" s="169" t="s">
        <v>478</v>
      </c>
      <c r="D374" s="170" t="s">
        <v>226</v>
      </c>
      <c r="E374" s="170" t="s">
        <v>41</v>
      </c>
      <c r="F374" s="115" t="s">
        <v>41</v>
      </c>
      <c r="G374" s="116" t="s">
        <v>44</v>
      </c>
      <c r="H374" s="116" t="s">
        <v>45</v>
      </c>
      <c r="I374" s="117" t="s">
        <v>46</v>
      </c>
      <c r="J374" s="118"/>
      <c r="K374" s="172">
        <f t="shared" si="72"/>
        <v>504.50000000000011</v>
      </c>
      <c r="L374" s="172">
        <f t="shared" si="72"/>
        <v>0</v>
      </c>
      <c r="M374" s="172">
        <f t="shared" si="72"/>
        <v>504.50000000000011</v>
      </c>
      <c r="N374" s="207"/>
    </row>
    <row r="375" spans="1:14" s="173" customFormat="1" ht="37.5" customHeight="1" x14ac:dyDescent="0.35">
      <c r="A375" s="168"/>
      <c r="B375" s="114" t="s">
        <v>208</v>
      </c>
      <c r="C375" s="169" t="s">
        <v>478</v>
      </c>
      <c r="D375" s="170" t="s">
        <v>226</v>
      </c>
      <c r="E375" s="170" t="s">
        <v>41</v>
      </c>
      <c r="F375" s="115" t="s">
        <v>41</v>
      </c>
      <c r="G375" s="116" t="s">
        <v>47</v>
      </c>
      <c r="H375" s="116" t="s">
        <v>45</v>
      </c>
      <c r="I375" s="117" t="s">
        <v>46</v>
      </c>
      <c r="J375" s="118"/>
      <c r="K375" s="172">
        <f t="shared" si="72"/>
        <v>504.50000000000011</v>
      </c>
      <c r="L375" s="172">
        <f t="shared" si="72"/>
        <v>0</v>
      </c>
      <c r="M375" s="172">
        <f t="shared" si="72"/>
        <v>504.50000000000011</v>
      </c>
      <c r="N375" s="207"/>
    </row>
    <row r="376" spans="1:14" s="173" customFormat="1" ht="18.75" customHeight="1" x14ac:dyDescent="0.35">
      <c r="A376" s="168"/>
      <c r="B376" s="114" t="s">
        <v>274</v>
      </c>
      <c r="C376" s="169" t="s">
        <v>478</v>
      </c>
      <c r="D376" s="170" t="s">
        <v>226</v>
      </c>
      <c r="E376" s="170" t="s">
        <v>41</v>
      </c>
      <c r="F376" s="115" t="s">
        <v>41</v>
      </c>
      <c r="G376" s="116" t="s">
        <v>47</v>
      </c>
      <c r="H376" s="116" t="s">
        <v>41</v>
      </c>
      <c r="I376" s="117" t="s">
        <v>46</v>
      </c>
      <c r="J376" s="118"/>
      <c r="K376" s="172">
        <f t="shared" si="72"/>
        <v>504.50000000000011</v>
      </c>
      <c r="L376" s="172">
        <f t="shared" si="72"/>
        <v>0</v>
      </c>
      <c r="M376" s="172">
        <f t="shared" si="72"/>
        <v>504.50000000000011</v>
      </c>
      <c r="N376" s="207"/>
    </row>
    <row r="377" spans="1:14" s="173" customFormat="1" ht="37.5" customHeight="1" x14ac:dyDescent="0.35">
      <c r="A377" s="168"/>
      <c r="B377" s="114" t="s">
        <v>210</v>
      </c>
      <c r="C377" s="169" t="s">
        <v>478</v>
      </c>
      <c r="D377" s="170" t="s">
        <v>226</v>
      </c>
      <c r="E377" s="170" t="s">
        <v>41</v>
      </c>
      <c r="F377" s="115" t="s">
        <v>41</v>
      </c>
      <c r="G377" s="116" t="s">
        <v>47</v>
      </c>
      <c r="H377" s="116" t="s">
        <v>41</v>
      </c>
      <c r="I377" s="117" t="s">
        <v>276</v>
      </c>
      <c r="J377" s="118"/>
      <c r="K377" s="172">
        <f t="shared" si="72"/>
        <v>504.50000000000011</v>
      </c>
      <c r="L377" s="172">
        <f t="shared" si="72"/>
        <v>0</v>
      </c>
      <c r="M377" s="172">
        <f t="shared" si="72"/>
        <v>504.50000000000011</v>
      </c>
      <c r="N377" s="207"/>
    </row>
    <row r="378" spans="1:14" s="173" customFormat="1" ht="56.25" customHeight="1" x14ac:dyDescent="0.35">
      <c r="A378" s="168"/>
      <c r="B378" s="114" t="s">
        <v>205</v>
      </c>
      <c r="C378" s="169" t="s">
        <v>478</v>
      </c>
      <c r="D378" s="170" t="s">
        <v>226</v>
      </c>
      <c r="E378" s="170" t="s">
        <v>41</v>
      </c>
      <c r="F378" s="115" t="s">
        <v>41</v>
      </c>
      <c r="G378" s="116" t="s">
        <v>47</v>
      </c>
      <c r="H378" s="116" t="s">
        <v>41</v>
      </c>
      <c r="I378" s="117" t="s">
        <v>276</v>
      </c>
      <c r="J378" s="118" t="s">
        <v>206</v>
      </c>
      <c r="K378" s="250">
        <f>127.3+82.8+197.4+168.1+179.8-82.8-168.1</f>
        <v>504.50000000000011</v>
      </c>
      <c r="L378" s="33">
        <f>M378-K378</f>
        <v>0</v>
      </c>
      <c r="M378" s="250">
        <f>127.3+82.8+197.4+168.1+179.8-82.8-168.1</f>
        <v>504.50000000000011</v>
      </c>
      <c r="N378" s="207"/>
    </row>
    <row r="379" spans="1:14" s="173" customFormat="1" ht="36" x14ac:dyDescent="0.35">
      <c r="A379" s="168"/>
      <c r="B379" s="31" t="s">
        <v>699</v>
      </c>
      <c r="C379" s="169" t="s">
        <v>478</v>
      </c>
      <c r="D379" s="17" t="s">
        <v>226</v>
      </c>
      <c r="E379" s="17" t="s">
        <v>67</v>
      </c>
      <c r="F379" s="115"/>
      <c r="G379" s="116"/>
      <c r="H379" s="116"/>
      <c r="I379" s="117"/>
      <c r="J379" s="118"/>
      <c r="K379" s="344">
        <f t="shared" ref="K379:M383" si="73">K380</f>
        <v>10</v>
      </c>
      <c r="L379" s="344">
        <f t="shared" si="73"/>
        <v>0</v>
      </c>
      <c r="M379" s="344">
        <f t="shared" si="73"/>
        <v>10</v>
      </c>
      <c r="N379" s="207"/>
    </row>
    <row r="380" spans="1:14" s="173" customFormat="1" ht="56.25" customHeight="1" x14ac:dyDescent="0.35">
      <c r="A380" s="168"/>
      <c r="B380" s="140" t="s">
        <v>227</v>
      </c>
      <c r="C380" s="169" t="s">
        <v>478</v>
      </c>
      <c r="D380" s="17" t="s">
        <v>226</v>
      </c>
      <c r="E380" s="17" t="s">
        <v>67</v>
      </c>
      <c r="F380" s="128" t="s">
        <v>228</v>
      </c>
      <c r="G380" s="116" t="s">
        <v>44</v>
      </c>
      <c r="H380" s="116" t="s">
        <v>45</v>
      </c>
      <c r="I380" s="117" t="s">
        <v>46</v>
      </c>
      <c r="J380" s="118"/>
      <c r="K380" s="344">
        <f t="shared" si="73"/>
        <v>10</v>
      </c>
      <c r="L380" s="344">
        <f t="shared" si="73"/>
        <v>0</v>
      </c>
      <c r="M380" s="344">
        <f t="shared" si="73"/>
        <v>10</v>
      </c>
      <c r="N380" s="207"/>
    </row>
    <row r="381" spans="1:14" s="173" customFormat="1" ht="36" x14ac:dyDescent="0.35">
      <c r="A381" s="168"/>
      <c r="B381" s="114" t="s">
        <v>231</v>
      </c>
      <c r="C381" s="169" t="s">
        <v>478</v>
      </c>
      <c r="D381" s="17" t="s">
        <v>226</v>
      </c>
      <c r="E381" s="17" t="s">
        <v>67</v>
      </c>
      <c r="F381" s="128" t="s">
        <v>228</v>
      </c>
      <c r="G381" s="116" t="s">
        <v>91</v>
      </c>
      <c r="H381" s="116" t="s">
        <v>45</v>
      </c>
      <c r="I381" s="117" t="s">
        <v>46</v>
      </c>
      <c r="J381" s="118"/>
      <c r="K381" s="344">
        <f t="shared" si="73"/>
        <v>10</v>
      </c>
      <c r="L381" s="344">
        <f t="shared" si="73"/>
        <v>0</v>
      </c>
      <c r="M381" s="344">
        <f t="shared" si="73"/>
        <v>10</v>
      </c>
      <c r="N381" s="207"/>
    </row>
    <row r="382" spans="1:14" s="173" customFormat="1" ht="56.25" customHeight="1" x14ac:dyDescent="0.35">
      <c r="A382" s="168"/>
      <c r="B382" s="114" t="s">
        <v>304</v>
      </c>
      <c r="C382" s="169" t="s">
        <v>478</v>
      </c>
      <c r="D382" s="17" t="s">
        <v>226</v>
      </c>
      <c r="E382" s="17" t="s">
        <v>67</v>
      </c>
      <c r="F382" s="128" t="s">
        <v>228</v>
      </c>
      <c r="G382" s="116" t="s">
        <v>91</v>
      </c>
      <c r="H382" s="116" t="s">
        <v>39</v>
      </c>
      <c r="I382" s="117" t="s">
        <v>46</v>
      </c>
      <c r="J382" s="118"/>
      <c r="K382" s="344">
        <f t="shared" si="73"/>
        <v>10</v>
      </c>
      <c r="L382" s="344">
        <f t="shared" si="73"/>
        <v>0</v>
      </c>
      <c r="M382" s="344">
        <f t="shared" si="73"/>
        <v>10</v>
      </c>
      <c r="N382" s="207"/>
    </row>
    <row r="383" spans="1:14" s="173" customFormat="1" ht="36" x14ac:dyDescent="0.35">
      <c r="A383" s="168"/>
      <c r="B383" s="31" t="s">
        <v>701</v>
      </c>
      <c r="C383" s="169" t="s">
        <v>478</v>
      </c>
      <c r="D383" s="17" t="s">
        <v>226</v>
      </c>
      <c r="E383" s="17" t="s">
        <v>67</v>
      </c>
      <c r="F383" s="128" t="s">
        <v>228</v>
      </c>
      <c r="G383" s="116" t="s">
        <v>91</v>
      </c>
      <c r="H383" s="116" t="s">
        <v>39</v>
      </c>
      <c r="I383" s="117" t="s">
        <v>700</v>
      </c>
      <c r="J383" s="118"/>
      <c r="K383" s="344">
        <f t="shared" si="73"/>
        <v>10</v>
      </c>
      <c r="L383" s="344">
        <f t="shared" si="73"/>
        <v>0</v>
      </c>
      <c r="M383" s="344">
        <f t="shared" si="73"/>
        <v>10</v>
      </c>
      <c r="N383" s="207"/>
    </row>
    <row r="384" spans="1:14" s="173" customFormat="1" ht="56.25" customHeight="1" x14ac:dyDescent="0.35">
      <c r="A384" s="168"/>
      <c r="B384" s="31" t="s">
        <v>57</v>
      </c>
      <c r="C384" s="169" t="s">
        <v>478</v>
      </c>
      <c r="D384" s="17" t="s">
        <v>226</v>
      </c>
      <c r="E384" s="17" t="s">
        <v>67</v>
      </c>
      <c r="F384" s="128" t="s">
        <v>228</v>
      </c>
      <c r="G384" s="116" t="s">
        <v>91</v>
      </c>
      <c r="H384" s="116" t="s">
        <v>39</v>
      </c>
      <c r="I384" s="117" t="s">
        <v>700</v>
      </c>
      <c r="J384" s="118" t="s">
        <v>58</v>
      </c>
      <c r="K384" s="627">
        <v>10</v>
      </c>
      <c r="L384" s="33">
        <f>M384-K384</f>
        <v>0</v>
      </c>
      <c r="M384" s="627">
        <v>10</v>
      </c>
      <c r="N384" s="207"/>
    </row>
    <row r="385" spans="1:15" s="184" customFormat="1" ht="18.75" customHeight="1" x14ac:dyDescent="0.35">
      <c r="A385" s="181"/>
      <c r="B385" s="182" t="s">
        <v>121</v>
      </c>
      <c r="C385" s="183" t="s">
        <v>478</v>
      </c>
      <c r="D385" s="139" t="s">
        <v>106</v>
      </c>
      <c r="E385" s="170"/>
      <c r="F385" s="136"/>
      <c r="G385" s="137"/>
      <c r="H385" s="137"/>
      <c r="I385" s="138"/>
      <c r="J385" s="139"/>
      <c r="K385" s="226">
        <f t="shared" ref="K385:M388" si="74">K386</f>
        <v>48897.8</v>
      </c>
      <c r="L385" s="226">
        <f t="shared" si="74"/>
        <v>15781.600000000002</v>
      </c>
      <c r="M385" s="226">
        <f t="shared" si="74"/>
        <v>64679.4</v>
      </c>
    </row>
    <row r="386" spans="1:15" s="184" customFormat="1" ht="18.75" customHeight="1" x14ac:dyDescent="0.35">
      <c r="A386" s="181"/>
      <c r="B386" s="135" t="s">
        <v>195</v>
      </c>
      <c r="C386" s="183" t="s">
        <v>478</v>
      </c>
      <c r="D386" s="139" t="s">
        <v>106</v>
      </c>
      <c r="E386" s="139" t="s">
        <v>54</v>
      </c>
      <c r="F386" s="136"/>
      <c r="G386" s="137"/>
      <c r="H386" s="137"/>
      <c r="I386" s="138"/>
      <c r="J386" s="139"/>
      <c r="K386" s="226">
        <f t="shared" si="74"/>
        <v>48897.8</v>
      </c>
      <c r="L386" s="226">
        <f t="shared" si="74"/>
        <v>15781.600000000002</v>
      </c>
      <c r="M386" s="226">
        <f t="shared" si="74"/>
        <v>64679.4</v>
      </c>
    </row>
    <row r="387" spans="1:15" s="184" customFormat="1" ht="56.25" customHeight="1" x14ac:dyDescent="0.35">
      <c r="A387" s="181"/>
      <c r="B387" s="185" t="s">
        <v>232</v>
      </c>
      <c r="C387" s="183" t="s">
        <v>478</v>
      </c>
      <c r="D387" s="139" t="s">
        <v>106</v>
      </c>
      <c r="E387" s="139" t="s">
        <v>54</v>
      </c>
      <c r="F387" s="136" t="s">
        <v>81</v>
      </c>
      <c r="G387" s="137" t="s">
        <v>44</v>
      </c>
      <c r="H387" s="137" t="s">
        <v>45</v>
      </c>
      <c r="I387" s="138" t="s">
        <v>46</v>
      </c>
      <c r="J387" s="139"/>
      <c r="K387" s="226">
        <f t="shared" si="74"/>
        <v>48897.8</v>
      </c>
      <c r="L387" s="226">
        <f t="shared" si="74"/>
        <v>15781.600000000002</v>
      </c>
      <c r="M387" s="226">
        <f t="shared" si="74"/>
        <v>64679.4</v>
      </c>
    </row>
    <row r="388" spans="1:15" s="184" customFormat="1" ht="37.5" customHeight="1" x14ac:dyDescent="0.35">
      <c r="A388" s="181"/>
      <c r="B388" s="135" t="s">
        <v>345</v>
      </c>
      <c r="C388" s="183" t="s">
        <v>478</v>
      </c>
      <c r="D388" s="139" t="s">
        <v>106</v>
      </c>
      <c r="E388" s="139" t="s">
        <v>54</v>
      </c>
      <c r="F388" s="136" t="s">
        <v>81</v>
      </c>
      <c r="G388" s="137" t="s">
        <v>47</v>
      </c>
      <c r="H388" s="137" t="s">
        <v>45</v>
      </c>
      <c r="I388" s="138" t="s">
        <v>46</v>
      </c>
      <c r="J388" s="139"/>
      <c r="K388" s="226">
        <f t="shared" si="74"/>
        <v>48897.8</v>
      </c>
      <c r="L388" s="226">
        <f t="shared" si="74"/>
        <v>15781.600000000002</v>
      </c>
      <c r="M388" s="226">
        <f t="shared" si="74"/>
        <v>64679.4</v>
      </c>
    </row>
    <row r="389" spans="1:15" s="186" customFormat="1" ht="93.75" customHeight="1" x14ac:dyDescent="0.35">
      <c r="A389" s="181"/>
      <c r="B389" s="135" t="s">
        <v>303</v>
      </c>
      <c r="C389" s="183" t="s">
        <v>478</v>
      </c>
      <c r="D389" s="139" t="s">
        <v>106</v>
      </c>
      <c r="E389" s="139" t="s">
        <v>54</v>
      </c>
      <c r="F389" s="136" t="s">
        <v>81</v>
      </c>
      <c r="G389" s="137" t="s">
        <v>47</v>
      </c>
      <c r="H389" s="137" t="s">
        <v>41</v>
      </c>
      <c r="I389" s="138" t="s">
        <v>46</v>
      </c>
      <c r="J389" s="139"/>
      <c r="K389" s="226">
        <f>K390+K392</f>
        <v>48897.8</v>
      </c>
      <c r="L389" s="226">
        <f>L390+L392</f>
        <v>15781.600000000002</v>
      </c>
      <c r="M389" s="226">
        <f>M390+M392</f>
        <v>64679.4</v>
      </c>
    </row>
    <row r="390" spans="1:15" s="173" customFormat="1" ht="110.25" customHeight="1" x14ac:dyDescent="0.35">
      <c r="A390" s="168"/>
      <c r="B390" s="140" t="s">
        <v>480</v>
      </c>
      <c r="C390" s="169" t="s">
        <v>478</v>
      </c>
      <c r="D390" s="170" t="s">
        <v>106</v>
      </c>
      <c r="E390" s="170" t="s">
        <v>54</v>
      </c>
      <c r="F390" s="115" t="s">
        <v>81</v>
      </c>
      <c r="G390" s="116" t="s">
        <v>47</v>
      </c>
      <c r="H390" s="116" t="s">
        <v>41</v>
      </c>
      <c r="I390" s="141" t="s">
        <v>481</v>
      </c>
      <c r="J390" s="118"/>
      <c r="K390" s="172">
        <f t="shared" ref="K390:M390" si="75">K391</f>
        <v>40756</v>
      </c>
      <c r="L390" s="172">
        <f t="shared" si="75"/>
        <v>23923.4</v>
      </c>
      <c r="M390" s="172">
        <f t="shared" si="75"/>
        <v>64679.4</v>
      </c>
      <c r="N390" s="207"/>
    </row>
    <row r="391" spans="1:15" s="173" customFormat="1" ht="56.25" customHeight="1" x14ac:dyDescent="0.35">
      <c r="A391" s="168"/>
      <c r="B391" s="140" t="s">
        <v>205</v>
      </c>
      <c r="C391" s="169" t="s">
        <v>478</v>
      </c>
      <c r="D391" s="170" t="s">
        <v>106</v>
      </c>
      <c r="E391" s="170" t="s">
        <v>54</v>
      </c>
      <c r="F391" s="115" t="s">
        <v>81</v>
      </c>
      <c r="G391" s="116" t="s">
        <v>47</v>
      </c>
      <c r="H391" s="116" t="s">
        <v>41</v>
      </c>
      <c r="I391" s="141" t="s">
        <v>481</v>
      </c>
      <c r="J391" s="118" t="s">
        <v>206</v>
      </c>
      <c r="K391" s="172">
        <f>48897.8-8141.8</f>
        <v>40756</v>
      </c>
      <c r="L391" s="33">
        <f>M391-K391</f>
        <v>23923.4</v>
      </c>
      <c r="M391" s="172">
        <f>48897.8-8141.8+23923.4</f>
        <v>64679.4</v>
      </c>
      <c r="N391" s="207"/>
    </row>
    <row r="392" spans="1:15" s="173" customFormat="1" ht="110.4" customHeight="1" x14ac:dyDescent="0.35">
      <c r="A392" s="168"/>
      <c r="B392" s="140" t="s">
        <v>480</v>
      </c>
      <c r="C392" s="169" t="s">
        <v>478</v>
      </c>
      <c r="D392" s="170" t="s">
        <v>106</v>
      </c>
      <c r="E392" s="170" t="s">
        <v>54</v>
      </c>
      <c r="F392" s="115" t="s">
        <v>81</v>
      </c>
      <c r="G392" s="116" t="s">
        <v>47</v>
      </c>
      <c r="H392" s="116" t="s">
        <v>41</v>
      </c>
      <c r="I392" s="141" t="s">
        <v>732</v>
      </c>
      <c r="J392" s="118"/>
      <c r="K392" s="361">
        <f>K393</f>
        <v>8141.8</v>
      </c>
      <c r="L392" s="361">
        <f>L393</f>
        <v>-8141.8</v>
      </c>
      <c r="M392" s="361">
        <f>M393</f>
        <v>0</v>
      </c>
      <c r="N392" s="207"/>
    </row>
    <row r="393" spans="1:15" s="173" customFormat="1" ht="56.25" customHeight="1" x14ac:dyDescent="0.35">
      <c r="A393" s="168"/>
      <c r="B393" s="140" t="s">
        <v>205</v>
      </c>
      <c r="C393" s="169" t="s">
        <v>478</v>
      </c>
      <c r="D393" s="170" t="s">
        <v>106</v>
      </c>
      <c r="E393" s="170" t="s">
        <v>54</v>
      </c>
      <c r="F393" s="115" t="s">
        <v>81</v>
      </c>
      <c r="G393" s="116" t="s">
        <v>47</v>
      </c>
      <c r="H393" s="116" t="s">
        <v>41</v>
      </c>
      <c r="I393" s="141" t="s">
        <v>732</v>
      </c>
      <c r="J393" s="118" t="s">
        <v>206</v>
      </c>
      <c r="K393" s="172">
        <v>8141.8</v>
      </c>
      <c r="L393" s="33">
        <f>M393-K393</f>
        <v>-8141.8</v>
      </c>
      <c r="M393" s="172">
        <f>8141.8-6350.6-1791.2</f>
        <v>0</v>
      </c>
      <c r="N393" s="207"/>
    </row>
    <row r="394" spans="1:15" s="173" customFormat="1" ht="18" customHeight="1" x14ac:dyDescent="0.35">
      <c r="A394" s="168"/>
      <c r="B394" s="140"/>
      <c r="C394" s="202"/>
      <c r="D394" s="203"/>
      <c r="E394" s="203"/>
      <c r="F394" s="204"/>
      <c r="G394" s="205"/>
      <c r="H394" s="205"/>
      <c r="I394" s="206"/>
      <c r="J394" s="203"/>
      <c r="K394" s="172"/>
      <c r="L394" s="172"/>
      <c r="M394" s="172"/>
    </row>
    <row r="395" spans="1:15" s="156" customFormat="1" ht="52.2" customHeight="1" x14ac:dyDescent="0.3">
      <c r="A395" s="151">
        <v>5</v>
      </c>
      <c r="B395" s="25" t="s">
        <v>7</v>
      </c>
      <c r="C395" s="26" t="s">
        <v>491</v>
      </c>
      <c r="D395" s="27"/>
      <c r="E395" s="27"/>
      <c r="F395" s="28"/>
      <c r="G395" s="29"/>
      <c r="H395" s="29"/>
      <c r="I395" s="30"/>
      <c r="J395" s="27"/>
      <c r="K395" s="47">
        <f>K409+K548+K396</f>
        <v>1130897.4610000001</v>
      </c>
      <c r="L395" s="47">
        <f>L409+L548+L396</f>
        <v>9137.3999999999942</v>
      </c>
      <c r="M395" s="47">
        <f>M409+M548+M396</f>
        <v>1140034.861</v>
      </c>
      <c r="N395" s="187"/>
      <c r="O395" s="187"/>
    </row>
    <row r="396" spans="1:15" s="156" customFormat="1" ht="24.75" customHeight="1" x14ac:dyDescent="0.35">
      <c r="A396" s="151"/>
      <c r="B396" s="311" t="s">
        <v>38</v>
      </c>
      <c r="C396" s="319" t="s">
        <v>491</v>
      </c>
      <c r="D396" s="312" t="s">
        <v>39</v>
      </c>
      <c r="E396" s="111"/>
      <c r="F396" s="320"/>
      <c r="G396" s="121"/>
      <c r="H396" s="121"/>
      <c r="I396" s="122"/>
      <c r="J396" s="111"/>
      <c r="K396" s="275">
        <f t="shared" ref="K396:M397" si="76">K397</f>
        <v>303.7</v>
      </c>
      <c r="L396" s="275">
        <f t="shared" si="76"/>
        <v>0</v>
      </c>
      <c r="M396" s="275">
        <f t="shared" si="76"/>
        <v>303.7</v>
      </c>
      <c r="N396" s="187"/>
      <c r="O396" s="187"/>
    </row>
    <row r="397" spans="1:15" s="156" customFormat="1" ht="27" customHeight="1" x14ac:dyDescent="0.35">
      <c r="A397" s="151"/>
      <c r="B397" s="311" t="s">
        <v>72</v>
      </c>
      <c r="C397" s="321" t="s">
        <v>491</v>
      </c>
      <c r="D397" s="312" t="s">
        <v>39</v>
      </c>
      <c r="E397" s="312" t="s">
        <v>73</v>
      </c>
      <c r="F397" s="320"/>
      <c r="G397" s="121"/>
      <c r="H397" s="121"/>
      <c r="I397" s="122"/>
      <c r="J397" s="111"/>
      <c r="K397" s="275">
        <f t="shared" si="76"/>
        <v>303.7</v>
      </c>
      <c r="L397" s="275">
        <f t="shared" si="76"/>
        <v>0</v>
      </c>
      <c r="M397" s="275">
        <f t="shared" si="76"/>
        <v>303.7</v>
      </c>
      <c r="N397" s="187"/>
      <c r="O397" s="187"/>
    </row>
    <row r="398" spans="1:15" s="156" customFormat="1" ht="52.2" customHeight="1" x14ac:dyDescent="0.35">
      <c r="A398" s="151"/>
      <c r="B398" s="311" t="s">
        <v>207</v>
      </c>
      <c r="C398" s="319" t="s">
        <v>491</v>
      </c>
      <c r="D398" s="312" t="s">
        <v>39</v>
      </c>
      <c r="E398" s="312" t="s">
        <v>73</v>
      </c>
      <c r="F398" s="652" t="s">
        <v>41</v>
      </c>
      <c r="G398" s="653" t="s">
        <v>44</v>
      </c>
      <c r="H398" s="653" t="s">
        <v>45</v>
      </c>
      <c r="I398" s="654" t="s">
        <v>46</v>
      </c>
      <c r="J398" s="312"/>
      <c r="K398" s="275">
        <f>K399</f>
        <v>303.7</v>
      </c>
      <c r="L398" s="275">
        <f>L399</f>
        <v>0</v>
      </c>
      <c r="M398" s="275">
        <f>M399</f>
        <v>303.7</v>
      </c>
      <c r="N398" s="187"/>
      <c r="O398" s="187"/>
    </row>
    <row r="399" spans="1:15" s="156" customFormat="1" ht="52.2" customHeight="1" x14ac:dyDescent="0.35">
      <c r="A399" s="151"/>
      <c r="B399" s="290" t="s">
        <v>214</v>
      </c>
      <c r="C399" s="319" t="s">
        <v>491</v>
      </c>
      <c r="D399" s="312" t="s">
        <v>39</v>
      </c>
      <c r="E399" s="312" t="s">
        <v>73</v>
      </c>
      <c r="F399" s="652" t="s">
        <v>41</v>
      </c>
      <c r="G399" s="653" t="s">
        <v>32</v>
      </c>
      <c r="H399" s="653" t="s">
        <v>45</v>
      </c>
      <c r="I399" s="654" t="s">
        <v>46</v>
      </c>
      <c r="J399" s="312"/>
      <c r="K399" s="275">
        <f>K400+K403+K406</f>
        <v>303.7</v>
      </c>
      <c r="L399" s="275">
        <f>L400+L403+L406</f>
        <v>0</v>
      </c>
      <c r="M399" s="275">
        <f>M400+M403+M406</f>
        <v>303.7</v>
      </c>
      <c r="N399" s="187"/>
      <c r="O399" s="187"/>
    </row>
    <row r="400" spans="1:15" s="156" customFormat="1" ht="36" customHeight="1" x14ac:dyDescent="0.35">
      <c r="A400" s="151"/>
      <c r="B400" s="311" t="s">
        <v>360</v>
      </c>
      <c r="C400" s="319" t="s">
        <v>491</v>
      </c>
      <c r="D400" s="312" t="s">
        <v>39</v>
      </c>
      <c r="E400" s="312" t="s">
        <v>73</v>
      </c>
      <c r="F400" s="652" t="s">
        <v>41</v>
      </c>
      <c r="G400" s="653" t="s">
        <v>32</v>
      </c>
      <c r="H400" s="653" t="s">
        <v>65</v>
      </c>
      <c r="I400" s="654" t="s">
        <v>46</v>
      </c>
      <c r="J400" s="312"/>
      <c r="K400" s="275">
        <f t="shared" ref="K400:M400" si="77">K401</f>
        <v>173.9</v>
      </c>
      <c r="L400" s="275">
        <f t="shared" si="77"/>
        <v>0</v>
      </c>
      <c r="M400" s="275">
        <f t="shared" si="77"/>
        <v>173.9</v>
      </c>
      <c r="N400" s="187"/>
      <c r="O400" s="187"/>
    </row>
    <row r="401" spans="1:15" s="156" customFormat="1" ht="52.2" customHeight="1" x14ac:dyDescent="0.35">
      <c r="A401" s="151"/>
      <c r="B401" s="290" t="s">
        <v>555</v>
      </c>
      <c r="C401" s="321" t="s">
        <v>491</v>
      </c>
      <c r="D401" s="312" t="s">
        <v>39</v>
      </c>
      <c r="E401" s="312" t="s">
        <v>73</v>
      </c>
      <c r="F401" s="652" t="s">
        <v>41</v>
      </c>
      <c r="G401" s="653" t="s">
        <v>32</v>
      </c>
      <c r="H401" s="653" t="s">
        <v>65</v>
      </c>
      <c r="I401" s="654" t="s">
        <v>107</v>
      </c>
      <c r="J401" s="312"/>
      <c r="K401" s="275">
        <f>K402</f>
        <v>173.9</v>
      </c>
      <c r="L401" s="275">
        <f>L402</f>
        <v>0</v>
      </c>
      <c r="M401" s="275">
        <f>M402</f>
        <v>173.9</v>
      </c>
      <c r="N401" s="187"/>
      <c r="O401" s="187"/>
    </row>
    <row r="402" spans="1:15" s="156" customFormat="1" ht="52.2" customHeight="1" x14ac:dyDescent="0.35">
      <c r="A402" s="151"/>
      <c r="B402" s="290" t="s">
        <v>57</v>
      </c>
      <c r="C402" s="321" t="s">
        <v>491</v>
      </c>
      <c r="D402" s="312" t="s">
        <v>39</v>
      </c>
      <c r="E402" s="312" t="s">
        <v>73</v>
      </c>
      <c r="F402" s="652" t="s">
        <v>41</v>
      </c>
      <c r="G402" s="653" t="s">
        <v>32</v>
      </c>
      <c r="H402" s="653" t="s">
        <v>65</v>
      </c>
      <c r="I402" s="654" t="s">
        <v>107</v>
      </c>
      <c r="J402" s="312" t="s">
        <v>58</v>
      </c>
      <c r="K402" s="275">
        <v>173.9</v>
      </c>
      <c r="L402" s="33">
        <f>M402-K402</f>
        <v>0</v>
      </c>
      <c r="M402" s="275">
        <v>173.9</v>
      </c>
      <c r="N402" s="187"/>
      <c r="O402" s="187"/>
    </row>
    <row r="403" spans="1:15" s="156" customFormat="1" ht="33.75" customHeight="1" x14ac:dyDescent="0.35">
      <c r="A403" s="151"/>
      <c r="B403" s="290" t="s">
        <v>544</v>
      </c>
      <c r="C403" s="319" t="s">
        <v>491</v>
      </c>
      <c r="D403" s="312" t="s">
        <v>39</v>
      </c>
      <c r="E403" s="312" t="s">
        <v>73</v>
      </c>
      <c r="F403" s="652" t="s">
        <v>41</v>
      </c>
      <c r="G403" s="653" t="s">
        <v>32</v>
      </c>
      <c r="H403" s="653" t="s">
        <v>54</v>
      </c>
      <c r="I403" s="654" t="s">
        <v>46</v>
      </c>
      <c r="J403" s="312"/>
      <c r="K403" s="275">
        <f t="shared" ref="K403:M404" si="78">K404</f>
        <v>24</v>
      </c>
      <c r="L403" s="275">
        <f t="shared" si="78"/>
        <v>0</v>
      </c>
      <c r="M403" s="275">
        <f t="shared" si="78"/>
        <v>24</v>
      </c>
      <c r="N403" s="187"/>
      <c r="O403" s="187"/>
    </row>
    <row r="404" spans="1:15" s="156" customFormat="1" ht="18.600000000000001" customHeight="1" x14ac:dyDescent="0.35">
      <c r="A404" s="151"/>
      <c r="B404" s="290" t="s">
        <v>556</v>
      </c>
      <c r="C404" s="321" t="s">
        <v>491</v>
      </c>
      <c r="D404" s="312" t="s">
        <v>39</v>
      </c>
      <c r="E404" s="312" t="s">
        <v>73</v>
      </c>
      <c r="F404" s="652" t="s">
        <v>41</v>
      </c>
      <c r="G404" s="653" t="s">
        <v>32</v>
      </c>
      <c r="H404" s="653" t="s">
        <v>54</v>
      </c>
      <c r="I404" s="654" t="s">
        <v>543</v>
      </c>
      <c r="J404" s="312"/>
      <c r="K404" s="275">
        <f t="shared" si="78"/>
        <v>24</v>
      </c>
      <c r="L404" s="275">
        <f t="shared" si="78"/>
        <v>0</v>
      </c>
      <c r="M404" s="275">
        <f t="shared" si="78"/>
        <v>24</v>
      </c>
      <c r="N404" s="187"/>
      <c r="O404" s="187"/>
    </row>
    <row r="405" spans="1:15" s="156" customFormat="1" ht="52.2" customHeight="1" x14ac:dyDescent="0.35">
      <c r="A405" s="151"/>
      <c r="B405" s="290" t="s">
        <v>57</v>
      </c>
      <c r="C405" s="321" t="s">
        <v>491</v>
      </c>
      <c r="D405" s="312" t="s">
        <v>39</v>
      </c>
      <c r="E405" s="312" t="s">
        <v>73</v>
      </c>
      <c r="F405" s="652" t="s">
        <v>41</v>
      </c>
      <c r="G405" s="653" t="s">
        <v>32</v>
      </c>
      <c r="H405" s="653" t="s">
        <v>54</v>
      </c>
      <c r="I405" s="654" t="s">
        <v>543</v>
      </c>
      <c r="J405" s="312" t="s">
        <v>58</v>
      </c>
      <c r="K405" s="275">
        <v>24</v>
      </c>
      <c r="L405" s="33">
        <f>M405-K405</f>
        <v>0</v>
      </c>
      <c r="M405" s="275">
        <v>24</v>
      </c>
      <c r="N405" s="187"/>
      <c r="O405" s="187"/>
    </row>
    <row r="406" spans="1:15" s="156" customFormat="1" ht="37.5" customHeight="1" x14ac:dyDescent="0.35">
      <c r="A406" s="151"/>
      <c r="B406" s="290" t="s">
        <v>554</v>
      </c>
      <c r="C406" s="321" t="s">
        <v>491</v>
      </c>
      <c r="D406" s="312" t="s">
        <v>39</v>
      </c>
      <c r="E406" s="312" t="s">
        <v>73</v>
      </c>
      <c r="F406" s="652" t="s">
        <v>41</v>
      </c>
      <c r="G406" s="653" t="s">
        <v>32</v>
      </c>
      <c r="H406" s="653" t="s">
        <v>67</v>
      </c>
      <c r="I406" s="567" t="s">
        <v>46</v>
      </c>
      <c r="J406" s="109"/>
      <c r="K406" s="275">
        <f t="shared" ref="K406:M406" si="79">K407</f>
        <v>105.8</v>
      </c>
      <c r="L406" s="275">
        <f t="shared" si="79"/>
        <v>0</v>
      </c>
      <c r="M406" s="275">
        <f t="shared" si="79"/>
        <v>105.8</v>
      </c>
      <c r="N406" s="187"/>
      <c r="O406" s="187"/>
    </row>
    <row r="407" spans="1:15" s="156" customFormat="1" ht="34.950000000000003" customHeight="1" x14ac:dyDescent="0.35">
      <c r="A407" s="151"/>
      <c r="B407" s="290" t="s">
        <v>129</v>
      </c>
      <c r="C407" s="321" t="s">
        <v>491</v>
      </c>
      <c r="D407" s="312" t="s">
        <v>39</v>
      </c>
      <c r="E407" s="312" t="s">
        <v>73</v>
      </c>
      <c r="F407" s="652" t="s">
        <v>41</v>
      </c>
      <c r="G407" s="653" t="s">
        <v>32</v>
      </c>
      <c r="H407" s="653" t="s">
        <v>67</v>
      </c>
      <c r="I407" s="567" t="s">
        <v>92</v>
      </c>
      <c r="J407" s="109"/>
      <c r="K407" s="275">
        <f>K408</f>
        <v>105.8</v>
      </c>
      <c r="L407" s="275">
        <f>L408</f>
        <v>0</v>
      </c>
      <c r="M407" s="275">
        <f>M408</f>
        <v>105.8</v>
      </c>
      <c r="N407" s="187"/>
      <c r="O407" s="187"/>
    </row>
    <row r="408" spans="1:15" s="156" customFormat="1" ht="52.2" customHeight="1" x14ac:dyDescent="0.35">
      <c r="A408" s="151"/>
      <c r="B408" s="290" t="s">
        <v>57</v>
      </c>
      <c r="C408" s="321" t="s">
        <v>491</v>
      </c>
      <c r="D408" s="312" t="s">
        <v>39</v>
      </c>
      <c r="E408" s="312" t="s">
        <v>73</v>
      </c>
      <c r="F408" s="652" t="s">
        <v>41</v>
      </c>
      <c r="G408" s="653" t="s">
        <v>32</v>
      </c>
      <c r="H408" s="653" t="s">
        <v>67</v>
      </c>
      <c r="I408" s="567" t="s">
        <v>92</v>
      </c>
      <c r="J408" s="109" t="s">
        <v>58</v>
      </c>
      <c r="K408" s="275">
        <v>105.8</v>
      </c>
      <c r="L408" s="33">
        <f>M408-K408</f>
        <v>0</v>
      </c>
      <c r="M408" s="275">
        <v>105.8</v>
      </c>
      <c r="N408" s="187"/>
      <c r="O408" s="187"/>
    </row>
    <row r="409" spans="1:15" s="157" customFormat="1" ht="18" customHeight="1" x14ac:dyDescent="0.35">
      <c r="A409" s="18"/>
      <c r="B409" s="31" t="s">
        <v>181</v>
      </c>
      <c r="C409" s="32" t="s">
        <v>491</v>
      </c>
      <c r="D409" s="17" t="s">
        <v>226</v>
      </c>
      <c r="E409" s="17"/>
      <c r="F409" s="659"/>
      <c r="G409" s="660"/>
      <c r="H409" s="660"/>
      <c r="I409" s="661"/>
      <c r="J409" s="17"/>
      <c r="K409" s="33">
        <f>K410+K436+K525+K494+K517</f>
        <v>1125141.2610000002</v>
      </c>
      <c r="L409" s="33">
        <f>L410+L436+L525+L494+L517</f>
        <v>9137.3999999999942</v>
      </c>
      <c r="M409" s="33">
        <f>M410+M436+M525+M494+M517</f>
        <v>1134278.6610000001</v>
      </c>
      <c r="N409" s="188"/>
      <c r="O409" s="188"/>
    </row>
    <row r="410" spans="1:15" s="156" customFormat="1" ht="18" customHeight="1" x14ac:dyDescent="0.35">
      <c r="A410" s="18"/>
      <c r="B410" s="31" t="s">
        <v>183</v>
      </c>
      <c r="C410" s="32" t="s">
        <v>491</v>
      </c>
      <c r="D410" s="17" t="s">
        <v>226</v>
      </c>
      <c r="E410" s="17" t="s">
        <v>39</v>
      </c>
      <c r="F410" s="659"/>
      <c r="G410" s="660"/>
      <c r="H410" s="660"/>
      <c r="I410" s="661"/>
      <c r="J410" s="17"/>
      <c r="K410" s="33">
        <f>K411+K426+K431</f>
        <v>335733.00000000006</v>
      </c>
      <c r="L410" s="33">
        <f>L411+L426+L431</f>
        <v>720.49999999999955</v>
      </c>
      <c r="M410" s="33">
        <f>M411+M426+M431</f>
        <v>336453.50000000006</v>
      </c>
    </row>
    <row r="411" spans="1:15" s="156" customFormat="1" ht="54" customHeight="1" x14ac:dyDescent="0.35">
      <c r="A411" s="18"/>
      <c r="B411" s="31" t="s">
        <v>207</v>
      </c>
      <c r="C411" s="32" t="s">
        <v>491</v>
      </c>
      <c r="D411" s="17" t="s">
        <v>226</v>
      </c>
      <c r="E411" s="17" t="s">
        <v>39</v>
      </c>
      <c r="F411" s="659" t="s">
        <v>41</v>
      </c>
      <c r="G411" s="660" t="s">
        <v>44</v>
      </c>
      <c r="H411" s="660" t="s">
        <v>45</v>
      </c>
      <c r="I411" s="661" t="s">
        <v>46</v>
      </c>
      <c r="J411" s="17"/>
      <c r="K411" s="33">
        <f t="shared" ref="K411:M411" si="80">K412</f>
        <v>334363.7</v>
      </c>
      <c r="L411" s="33">
        <f t="shared" si="80"/>
        <v>720.49999999999955</v>
      </c>
      <c r="M411" s="33">
        <f t="shared" si="80"/>
        <v>335084.2</v>
      </c>
    </row>
    <row r="412" spans="1:15" s="156" customFormat="1" ht="36" customHeight="1" x14ac:dyDescent="0.35">
      <c r="A412" s="18"/>
      <c r="B412" s="31" t="s">
        <v>208</v>
      </c>
      <c r="C412" s="32" t="s">
        <v>491</v>
      </c>
      <c r="D412" s="17" t="s">
        <v>226</v>
      </c>
      <c r="E412" s="17" t="s">
        <v>39</v>
      </c>
      <c r="F412" s="659" t="s">
        <v>41</v>
      </c>
      <c r="G412" s="660" t="s">
        <v>47</v>
      </c>
      <c r="H412" s="660" t="s">
        <v>45</v>
      </c>
      <c r="I412" s="661" t="s">
        <v>46</v>
      </c>
      <c r="J412" s="17"/>
      <c r="K412" s="33">
        <f>K413</f>
        <v>334363.7</v>
      </c>
      <c r="L412" s="33">
        <f>L413</f>
        <v>720.49999999999955</v>
      </c>
      <c r="M412" s="33">
        <f>M413</f>
        <v>335084.2</v>
      </c>
    </row>
    <row r="413" spans="1:15" s="156" customFormat="1" ht="36" customHeight="1" x14ac:dyDescent="0.35">
      <c r="A413" s="18"/>
      <c r="B413" s="31" t="s">
        <v>269</v>
      </c>
      <c r="C413" s="32" t="s">
        <v>491</v>
      </c>
      <c r="D413" s="17" t="s">
        <v>226</v>
      </c>
      <c r="E413" s="17" t="s">
        <v>39</v>
      </c>
      <c r="F413" s="659" t="s">
        <v>41</v>
      </c>
      <c r="G413" s="660" t="s">
        <v>47</v>
      </c>
      <c r="H413" s="660" t="s">
        <v>39</v>
      </c>
      <c r="I413" s="661" t="s">
        <v>46</v>
      </c>
      <c r="J413" s="17"/>
      <c r="K413" s="33">
        <f>K422+K424+K414+K418+K416+K420</f>
        <v>334363.7</v>
      </c>
      <c r="L413" s="33">
        <f>L422+L424+L414+L418+L416+L420</f>
        <v>720.49999999999955</v>
      </c>
      <c r="M413" s="33">
        <f>M422+M424+M414+M418+M416+M420</f>
        <v>335084.2</v>
      </c>
      <c r="N413" s="227"/>
    </row>
    <row r="414" spans="1:15" s="152" customFormat="1" ht="37.5" customHeight="1" x14ac:dyDescent="0.35">
      <c r="A414" s="18"/>
      <c r="B414" s="34" t="s">
        <v>540</v>
      </c>
      <c r="C414" s="32" t="s">
        <v>491</v>
      </c>
      <c r="D414" s="17" t="s">
        <v>226</v>
      </c>
      <c r="E414" s="17" t="s">
        <v>39</v>
      </c>
      <c r="F414" s="659" t="s">
        <v>41</v>
      </c>
      <c r="G414" s="660" t="s">
        <v>47</v>
      </c>
      <c r="H414" s="660" t="s">
        <v>39</v>
      </c>
      <c r="I414" s="661" t="s">
        <v>93</v>
      </c>
      <c r="J414" s="17"/>
      <c r="K414" s="33">
        <f>K415</f>
        <v>89086.2</v>
      </c>
      <c r="L414" s="33">
        <f>L415</f>
        <v>0</v>
      </c>
      <c r="M414" s="33">
        <f>M415</f>
        <v>89086.2</v>
      </c>
      <c r="N414" s="228"/>
    </row>
    <row r="415" spans="1:15" s="152" customFormat="1" ht="54" customHeight="1" x14ac:dyDescent="0.35">
      <c r="A415" s="18"/>
      <c r="B415" s="31" t="s">
        <v>78</v>
      </c>
      <c r="C415" s="32" t="s">
        <v>491</v>
      </c>
      <c r="D415" s="17" t="s">
        <v>226</v>
      </c>
      <c r="E415" s="17" t="s">
        <v>39</v>
      </c>
      <c r="F415" s="659" t="s">
        <v>41</v>
      </c>
      <c r="G415" s="660" t="s">
        <v>47</v>
      </c>
      <c r="H415" s="660" t="s">
        <v>39</v>
      </c>
      <c r="I415" s="661" t="s">
        <v>93</v>
      </c>
      <c r="J415" s="17" t="s">
        <v>79</v>
      </c>
      <c r="K415" s="33">
        <f>88539.9+546.3</f>
        <v>89086.2</v>
      </c>
      <c r="L415" s="33">
        <f>M415-K415</f>
        <v>0</v>
      </c>
      <c r="M415" s="33">
        <f>88539.9+546.3</f>
        <v>89086.2</v>
      </c>
      <c r="N415" s="228"/>
    </row>
    <row r="416" spans="1:15" s="152" customFormat="1" ht="19.2" customHeight="1" x14ac:dyDescent="0.35">
      <c r="A416" s="18"/>
      <c r="B416" s="31" t="s">
        <v>541</v>
      </c>
      <c r="C416" s="32" t="s">
        <v>491</v>
      </c>
      <c r="D416" s="17" t="s">
        <v>226</v>
      </c>
      <c r="E416" s="17" t="s">
        <v>39</v>
      </c>
      <c r="F416" s="659" t="s">
        <v>41</v>
      </c>
      <c r="G416" s="660" t="s">
        <v>47</v>
      </c>
      <c r="H416" s="660" t="s">
        <v>39</v>
      </c>
      <c r="I416" s="661" t="s">
        <v>399</v>
      </c>
      <c r="J416" s="17"/>
      <c r="K416" s="33">
        <f>K417</f>
        <v>3584.8000000000006</v>
      </c>
      <c r="L416" s="33">
        <f>L417</f>
        <v>682.20000000000027</v>
      </c>
      <c r="M416" s="33">
        <f>M417</f>
        <v>4267.0000000000009</v>
      </c>
      <c r="N416" s="228"/>
    </row>
    <row r="417" spans="1:14" s="152" customFormat="1" ht="54" customHeight="1" x14ac:dyDescent="0.35">
      <c r="A417" s="18"/>
      <c r="B417" s="31" t="s">
        <v>78</v>
      </c>
      <c r="C417" s="32" t="s">
        <v>491</v>
      </c>
      <c r="D417" s="17" t="s">
        <v>226</v>
      </c>
      <c r="E417" s="17" t="s">
        <v>39</v>
      </c>
      <c r="F417" s="659" t="s">
        <v>41</v>
      </c>
      <c r="G417" s="660" t="s">
        <v>47</v>
      </c>
      <c r="H417" s="660" t="s">
        <v>39</v>
      </c>
      <c r="I417" s="661" t="s">
        <v>399</v>
      </c>
      <c r="J417" s="17" t="s">
        <v>79</v>
      </c>
      <c r="K417" s="33">
        <f>2122.9+874.2+473.9+113.8</f>
        <v>3584.8000000000006</v>
      </c>
      <c r="L417" s="33">
        <f>M417-K417</f>
        <v>682.20000000000027</v>
      </c>
      <c r="M417" s="33">
        <f>2122.9+874.2+473.9+113.8+682.2</f>
        <v>4267.0000000000009</v>
      </c>
      <c r="N417" s="228"/>
    </row>
    <row r="418" spans="1:14" s="156" customFormat="1" ht="54" customHeight="1" x14ac:dyDescent="0.35">
      <c r="A418" s="18"/>
      <c r="B418" s="31" t="s">
        <v>209</v>
      </c>
      <c r="C418" s="32" t="s">
        <v>491</v>
      </c>
      <c r="D418" s="17" t="s">
        <v>226</v>
      </c>
      <c r="E418" s="17" t="s">
        <v>39</v>
      </c>
      <c r="F418" s="659" t="s">
        <v>41</v>
      </c>
      <c r="G418" s="660" t="s">
        <v>47</v>
      </c>
      <c r="H418" s="660" t="s">
        <v>39</v>
      </c>
      <c r="I418" s="661" t="s">
        <v>275</v>
      </c>
      <c r="J418" s="17"/>
      <c r="K418" s="33">
        <f>K419</f>
        <v>26718.2</v>
      </c>
      <c r="L418" s="33">
        <f>L419</f>
        <v>38.299999999999272</v>
      </c>
      <c r="M418" s="33">
        <f>M419</f>
        <v>26756.5</v>
      </c>
      <c r="N418" s="227"/>
    </row>
    <row r="419" spans="1:14" s="156" customFormat="1" ht="54" customHeight="1" x14ac:dyDescent="0.35">
      <c r="A419" s="18"/>
      <c r="B419" s="31" t="s">
        <v>78</v>
      </c>
      <c r="C419" s="32" t="s">
        <v>491</v>
      </c>
      <c r="D419" s="17" t="s">
        <v>226</v>
      </c>
      <c r="E419" s="17" t="s">
        <v>39</v>
      </c>
      <c r="F419" s="659" t="s">
        <v>41</v>
      </c>
      <c r="G419" s="660" t="s">
        <v>47</v>
      </c>
      <c r="H419" s="660" t="s">
        <v>39</v>
      </c>
      <c r="I419" s="661" t="s">
        <v>275</v>
      </c>
      <c r="J419" s="17" t="s">
        <v>79</v>
      </c>
      <c r="K419" s="33">
        <v>26718.2</v>
      </c>
      <c r="L419" s="33">
        <f>M419-K419</f>
        <v>38.299999999999272</v>
      </c>
      <c r="M419" s="33">
        <f>26718.2+12+26.3</f>
        <v>26756.5</v>
      </c>
      <c r="N419" s="227"/>
    </row>
    <row r="420" spans="1:14" s="156" customFormat="1" ht="37.200000000000003" customHeight="1" x14ac:dyDescent="0.35">
      <c r="A420" s="18"/>
      <c r="B420" s="31" t="s">
        <v>210</v>
      </c>
      <c r="C420" s="32" t="s">
        <v>491</v>
      </c>
      <c r="D420" s="17" t="s">
        <v>226</v>
      </c>
      <c r="E420" s="17" t="s">
        <v>39</v>
      </c>
      <c r="F420" s="659" t="s">
        <v>41</v>
      </c>
      <c r="G420" s="660" t="s">
        <v>47</v>
      </c>
      <c r="H420" s="660" t="s">
        <v>39</v>
      </c>
      <c r="I420" s="661" t="s">
        <v>276</v>
      </c>
      <c r="J420" s="17"/>
      <c r="K420" s="33">
        <f>K421</f>
        <v>178.9</v>
      </c>
      <c r="L420" s="33">
        <f>L421</f>
        <v>0</v>
      </c>
      <c r="M420" s="33">
        <f>M421</f>
        <v>178.9</v>
      </c>
      <c r="N420" s="227"/>
    </row>
    <row r="421" spans="1:14" s="152" customFormat="1" ht="54" customHeight="1" x14ac:dyDescent="0.35">
      <c r="A421" s="18"/>
      <c r="B421" s="31" t="s">
        <v>78</v>
      </c>
      <c r="C421" s="32" t="s">
        <v>491</v>
      </c>
      <c r="D421" s="17" t="s">
        <v>226</v>
      </c>
      <c r="E421" s="17" t="s">
        <v>39</v>
      </c>
      <c r="F421" s="659" t="s">
        <v>41</v>
      </c>
      <c r="G421" s="660" t="s">
        <v>47</v>
      </c>
      <c r="H421" s="660" t="s">
        <v>39</v>
      </c>
      <c r="I421" s="661" t="s">
        <v>276</v>
      </c>
      <c r="J421" s="17" t="s">
        <v>79</v>
      </c>
      <c r="K421" s="33">
        <v>178.9</v>
      </c>
      <c r="L421" s="33">
        <f>M421-K421</f>
        <v>0</v>
      </c>
      <c r="M421" s="33">
        <v>178.9</v>
      </c>
      <c r="N421" s="228"/>
    </row>
    <row r="422" spans="1:14" s="156" customFormat="1" ht="178.2" customHeight="1" x14ac:dyDescent="0.35">
      <c r="A422" s="18"/>
      <c r="B422" s="31" t="s">
        <v>270</v>
      </c>
      <c r="C422" s="32" t="s">
        <v>491</v>
      </c>
      <c r="D422" s="17" t="s">
        <v>226</v>
      </c>
      <c r="E422" s="17" t="s">
        <v>39</v>
      </c>
      <c r="F422" s="659" t="s">
        <v>41</v>
      </c>
      <c r="G422" s="660" t="s">
        <v>47</v>
      </c>
      <c r="H422" s="660" t="s">
        <v>39</v>
      </c>
      <c r="I422" s="661" t="s">
        <v>271</v>
      </c>
      <c r="J422" s="17"/>
      <c r="K422" s="33">
        <f>K423</f>
        <v>549.29999999999995</v>
      </c>
      <c r="L422" s="33">
        <f>L423</f>
        <v>0</v>
      </c>
      <c r="M422" s="33">
        <f>M423</f>
        <v>549.29999999999995</v>
      </c>
      <c r="N422" s="227"/>
    </row>
    <row r="423" spans="1:14" s="156" customFormat="1" ht="54" customHeight="1" x14ac:dyDescent="0.35">
      <c r="A423" s="18"/>
      <c r="B423" s="31" t="s">
        <v>78</v>
      </c>
      <c r="C423" s="32" t="s">
        <v>491</v>
      </c>
      <c r="D423" s="17" t="s">
        <v>226</v>
      </c>
      <c r="E423" s="17" t="s">
        <v>39</v>
      </c>
      <c r="F423" s="659" t="s">
        <v>41</v>
      </c>
      <c r="G423" s="660" t="s">
        <v>47</v>
      </c>
      <c r="H423" s="660" t="s">
        <v>39</v>
      </c>
      <c r="I423" s="661" t="s">
        <v>271</v>
      </c>
      <c r="J423" s="17" t="s">
        <v>79</v>
      </c>
      <c r="K423" s="33">
        <v>549.29999999999995</v>
      </c>
      <c r="L423" s="33">
        <f>M423-K423</f>
        <v>0</v>
      </c>
      <c r="M423" s="33">
        <v>549.29999999999995</v>
      </c>
    </row>
    <row r="424" spans="1:14" s="156" customFormat="1" ht="104.4" customHeight="1" x14ac:dyDescent="0.35">
      <c r="A424" s="18"/>
      <c r="B424" s="31" t="s">
        <v>354</v>
      </c>
      <c r="C424" s="32" t="s">
        <v>491</v>
      </c>
      <c r="D424" s="17" t="s">
        <v>226</v>
      </c>
      <c r="E424" s="17" t="s">
        <v>39</v>
      </c>
      <c r="F424" s="659" t="s">
        <v>41</v>
      </c>
      <c r="G424" s="660" t="s">
        <v>47</v>
      </c>
      <c r="H424" s="660" t="s">
        <v>39</v>
      </c>
      <c r="I424" s="661" t="s">
        <v>272</v>
      </c>
      <c r="J424" s="17"/>
      <c r="K424" s="33">
        <f>K425</f>
        <v>214246.3</v>
      </c>
      <c r="L424" s="33">
        <f>L425</f>
        <v>0</v>
      </c>
      <c r="M424" s="33">
        <f>M425</f>
        <v>214246.3</v>
      </c>
    </row>
    <row r="425" spans="1:14" s="156" customFormat="1" ht="54" customHeight="1" x14ac:dyDescent="0.35">
      <c r="A425" s="18"/>
      <c r="B425" s="31" t="s">
        <v>78</v>
      </c>
      <c r="C425" s="32" t="s">
        <v>491</v>
      </c>
      <c r="D425" s="17" t="s">
        <v>226</v>
      </c>
      <c r="E425" s="17" t="s">
        <v>39</v>
      </c>
      <c r="F425" s="659" t="s">
        <v>41</v>
      </c>
      <c r="G425" s="660" t="s">
        <v>47</v>
      </c>
      <c r="H425" s="660" t="s">
        <v>39</v>
      </c>
      <c r="I425" s="661" t="s">
        <v>272</v>
      </c>
      <c r="J425" s="17" t="s">
        <v>79</v>
      </c>
      <c r="K425" s="33">
        <v>214246.3</v>
      </c>
      <c r="L425" s="33">
        <f>M425-K425</f>
        <v>0</v>
      </c>
      <c r="M425" s="33">
        <v>214246.3</v>
      </c>
    </row>
    <row r="426" spans="1:14" s="152" customFormat="1" ht="54" customHeight="1" x14ac:dyDescent="0.35">
      <c r="A426" s="18"/>
      <c r="B426" s="31" t="s">
        <v>82</v>
      </c>
      <c r="C426" s="32" t="s">
        <v>491</v>
      </c>
      <c r="D426" s="17" t="s">
        <v>226</v>
      </c>
      <c r="E426" s="17" t="s">
        <v>39</v>
      </c>
      <c r="F426" s="659" t="s">
        <v>83</v>
      </c>
      <c r="G426" s="660" t="s">
        <v>44</v>
      </c>
      <c r="H426" s="660" t="s">
        <v>45</v>
      </c>
      <c r="I426" s="661" t="s">
        <v>46</v>
      </c>
      <c r="J426" s="17"/>
      <c r="K426" s="33">
        <f t="shared" ref="K426:M429" si="81">K427</f>
        <v>1315.9</v>
      </c>
      <c r="L426" s="33">
        <f t="shared" si="81"/>
        <v>0</v>
      </c>
      <c r="M426" s="33">
        <f t="shared" si="81"/>
        <v>1315.9</v>
      </c>
    </row>
    <row r="427" spans="1:14" s="156" customFormat="1" ht="38.25" customHeight="1" x14ac:dyDescent="0.35">
      <c r="A427" s="18"/>
      <c r="B427" s="31" t="s">
        <v>127</v>
      </c>
      <c r="C427" s="32" t="s">
        <v>491</v>
      </c>
      <c r="D427" s="17" t="s">
        <v>226</v>
      </c>
      <c r="E427" s="17" t="s">
        <v>39</v>
      </c>
      <c r="F427" s="659" t="s">
        <v>83</v>
      </c>
      <c r="G427" s="660" t="s">
        <v>91</v>
      </c>
      <c r="H427" s="660" t="s">
        <v>45</v>
      </c>
      <c r="I427" s="661" t="s">
        <v>46</v>
      </c>
      <c r="J427" s="17"/>
      <c r="K427" s="33">
        <f t="shared" si="81"/>
        <v>1315.9</v>
      </c>
      <c r="L427" s="33">
        <f t="shared" si="81"/>
        <v>0</v>
      </c>
      <c r="M427" s="33">
        <f t="shared" si="81"/>
        <v>1315.9</v>
      </c>
    </row>
    <row r="428" spans="1:14" s="156" customFormat="1" ht="38.25" customHeight="1" x14ac:dyDescent="0.35">
      <c r="A428" s="18"/>
      <c r="B428" s="31" t="s">
        <v>273</v>
      </c>
      <c r="C428" s="32" t="s">
        <v>491</v>
      </c>
      <c r="D428" s="17" t="s">
        <v>226</v>
      </c>
      <c r="E428" s="17" t="s">
        <v>39</v>
      </c>
      <c r="F428" s="659" t="s">
        <v>83</v>
      </c>
      <c r="G428" s="660" t="s">
        <v>91</v>
      </c>
      <c r="H428" s="660" t="s">
        <v>39</v>
      </c>
      <c r="I428" s="661" t="s">
        <v>46</v>
      </c>
      <c r="J428" s="17"/>
      <c r="K428" s="33">
        <f t="shared" si="81"/>
        <v>1315.9</v>
      </c>
      <c r="L428" s="33">
        <f t="shared" si="81"/>
        <v>0</v>
      </c>
      <c r="M428" s="33">
        <f t="shared" si="81"/>
        <v>1315.9</v>
      </c>
    </row>
    <row r="429" spans="1:14" s="156" customFormat="1" ht="38.25" customHeight="1" x14ac:dyDescent="0.35">
      <c r="A429" s="18"/>
      <c r="B429" s="31" t="s">
        <v>497</v>
      </c>
      <c r="C429" s="32" t="s">
        <v>491</v>
      </c>
      <c r="D429" s="17" t="s">
        <v>226</v>
      </c>
      <c r="E429" s="17" t="s">
        <v>39</v>
      </c>
      <c r="F429" s="659" t="s">
        <v>83</v>
      </c>
      <c r="G429" s="660" t="s">
        <v>91</v>
      </c>
      <c r="H429" s="660" t="s">
        <v>39</v>
      </c>
      <c r="I429" s="661" t="s">
        <v>498</v>
      </c>
      <c r="J429" s="17"/>
      <c r="K429" s="33">
        <f t="shared" si="81"/>
        <v>1315.9</v>
      </c>
      <c r="L429" s="33">
        <f t="shared" si="81"/>
        <v>0</v>
      </c>
      <c r="M429" s="33">
        <f t="shared" si="81"/>
        <v>1315.9</v>
      </c>
    </row>
    <row r="430" spans="1:14" s="156" customFormat="1" ht="38.25" customHeight="1" x14ac:dyDescent="0.35">
      <c r="A430" s="18"/>
      <c r="B430" s="31" t="s">
        <v>78</v>
      </c>
      <c r="C430" s="32" t="s">
        <v>491</v>
      </c>
      <c r="D430" s="17" t="s">
        <v>226</v>
      </c>
      <c r="E430" s="17" t="s">
        <v>39</v>
      </c>
      <c r="F430" s="659" t="s">
        <v>83</v>
      </c>
      <c r="G430" s="660" t="s">
        <v>91</v>
      </c>
      <c r="H430" s="660" t="s">
        <v>39</v>
      </c>
      <c r="I430" s="661" t="s">
        <v>498</v>
      </c>
      <c r="J430" s="17" t="s">
        <v>79</v>
      </c>
      <c r="K430" s="33">
        <v>1315.9</v>
      </c>
      <c r="L430" s="33">
        <f>M430-K430</f>
        <v>0</v>
      </c>
      <c r="M430" s="33">
        <v>1315.9</v>
      </c>
    </row>
    <row r="431" spans="1:14" s="156" customFormat="1" ht="54" customHeight="1" x14ac:dyDescent="0.35">
      <c r="A431" s="18"/>
      <c r="B431" s="31" t="s">
        <v>235</v>
      </c>
      <c r="C431" s="32" t="s">
        <v>491</v>
      </c>
      <c r="D431" s="17" t="s">
        <v>226</v>
      </c>
      <c r="E431" s="17" t="s">
        <v>39</v>
      </c>
      <c r="F431" s="659" t="s">
        <v>236</v>
      </c>
      <c r="G431" s="660" t="s">
        <v>44</v>
      </c>
      <c r="H431" s="660" t="s">
        <v>45</v>
      </c>
      <c r="I431" s="661" t="s">
        <v>46</v>
      </c>
      <c r="J431" s="17"/>
      <c r="K431" s="33">
        <f t="shared" ref="K431:M434" si="82">K432</f>
        <v>53.4</v>
      </c>
      <c r="L431" s="33">
        <f t="shared" si="82"/>
        <v>0</v>
      </c>
      <c r="M431" s="33">
        <f t="shared" si="82"/>
        <v>53.4</v>
      </c>
    </row>
    <row r="432" spans="1:14" s="156" customFormat="1" ht="36" customHeight="1" x14ac:dyDescent="0.35">
      <c r="A432" s="18"/>
      <c r="B432" s="31" t="s">
        <v>345</v>
      </c>
      <c r="C432" s="32" t="s">
        <v>491</v>
      </c>
      <c r="D432" s="17" t="s">
        <v>226</v>
      </c>
      <c r="E432" s="17" t="s">
        <v>39</v>
      </c>
      <c r="F432" s="659" t="s">
        <v>236</v>
      </c>
      <c r="G432" s="660" t="s">
        <v>47</v>
      </c>
      <c r="H432" s="660" t="s">
        <v>45</v>
      </c>
      <c r="I432" s="661" t="s">
        <v>46</v>
      </c>
      <c r="J432" s="17"/>
      <c r="K432" s="33">
        <f t="shared" si="82"/>
        <v>53.4</v>
      </c>
      <c r="L432" s="33">
        <f t="shared" si="82"/>
        <v>0</v>
      </c>
      <c r="M432" s="33">
        <f t="shared" si="82"/>
        <v>53.4</v>
      </c>
    </row>
    <row r="433" spans="1:13" s="156" customFormat="1" ht="72.599999999999994" customHeight="1" x14ac:dyDescent="0.35">
      <c r="A433" s="18"/>
      <c r="B433" s="31" t="s">
        <v>288</v>
      </c>
      <c r="C433" s="32" t="s">
        <v>491</v>
      </c>
      <c r="D433" s="17" t="s">
        <v>226</v>
      </c>
      <c r="E433" s="17" t="s">
        <v>39</v>
      </c>
      <c r="F433" s="659" t="s">
        <v>236</v>
      </c>
      <c r="G433" s="660" t="s">
        <v>47</v>
      </c>
      <c r="H433" s="660" t="s">
        <v>39</v>
      </c>
      <c r="I433" s="661" t="s">
        <v>46</v>
      </c>
      <c r="J433" s="17"/>
      <c r="K433" s="33">
        <f>K434</f>
        <v>53.4</v>
      </c>
      <c r="L433" s="33">
        <f>L434</f>
        <v>0</v>
      </c>
      <c r="M433" s="33">
        <f>M434</f>
        <v>53.4</v>
      </c>
    </row>
    <row r="434" spans="1:13" s="156" customFormat="1" ht="36" customHeight="1" x14ac:dyDescent="0.35">
      <c r="A434" s="18"/>
      <c r="B434" s="31" t="s">
        <v>237</v>
      </c>
      <c r="C434" s="32" t="s">
        <v>491</v>
      </c>
      <c r="D434" s="17" t="s">
        <v>226</v>
      </c>
      <c r="E434" s="17" t="s">
        <v>39</v>
      </c>
      <c r="F434" s="659" t="s">
        <v>236</v>
      </c>
      <c r="G434" s="660" t="s">
        <v>47</v>
      </c>
      <c r="H434" s="660" t="s">
        <v>39</v>
      </c>
      <c r="I434" s="661" t="s">
        <v>282</v>
      </c>
      <c r="J434" s="17"/>
      <c r="K434" s="33">
        <f t="shared" si="82"/>
        <v>53.4</v>
      </c>
      <c r="L434" s="33">
        <f t="shared" si="82"/>
        <v>0</v>
      </c>
      <c r="M434" s="33">
        <f t="shared" si="82"/>
        <v>53.4</v>
      </c>
    </row>
    <row r="435" spans="1:13" s="156" customFormat="1" ht="54" customHeight="1" x14ac:dyDescent="0.35">
      <c r="A435" s="18"/>
      <c r="B435" s="31" t="s">
        <v>78</v>
      </c>
      <c r="C435" s="32" t="s">
        <v>491</v>
      </c>
      <c r="D435" s="17" t="s">
        <v>226</v>
      </c>
      <c r="E435" s="17" t="s">
        <v>39</v>
      </c>
      <c r="F435" s="659" t="s">
        <v>236</v>
      </c>
      <c r="G435" s="660" t="s">
        <v>47</v>
      </c>
      <c r="H435" s="660" t="s">
        <v>39</v>
      </c>
      <c r="I435" s="661" t="s">
        <v>282</v>
      </c>
      <c r="J435" s="17" t="s">
        <v>79</v>
      </c>
      <c r="K435" s="33">
        <v>53.4</v>
      </c>
      <c r="L435" s="33">
        <f>M435-K435</f>
        <v>0</v>
      </c>
      <c r="M435" s="33">
        <v>53.4</v>
      </c>
    </row>
    <row r="436" spans="1:13" s="156" customFormat="1" ht="18" customHeight="1" x14ac:dyDescent="0.35">
      <c r="A436" s="18"/>
      <c r="B436" s="31" t="s">
        <v>185</v>
      </c>
      <c r="C436" s="32" t="s">
        <v>491</v>
      </c>
      <c r="D436" s="17" t="s">
        <v>226</v>
      </c>
      <c r="E436" s="17" t="s">
        <v>41</v>
      </c>
      <c r="F436" s="659"/>
      <c r="G436" s="660"/>
      <c r="H436" s="660"/>
      <c r="I436" s="661"/>
      <c r="J436" s="17"/>
      <c r="K436" s="33">
        <f>K437+K488</f>
        <v>647677.50900000008</v>
      </c>
      <c r="L436" s="33">
        <f>L437+L488</f>
        <v>7899.0999999999976</v>
      </c>
      <c r="M436" s="33">
        <f>M437+M488</f>
        <v>655576.60900000005</v>
      </c>
    </row>
    <row r="437" spans="1:13" s="156" customFormat="1" ht="54" customHeight="1" x14ac:dyDescent="0.35">
      <c r="A437" s="18"/>
      <c r="B437" s="31" t="s">
        <v>207</v>
      </c>
      <c r="C437" s="32" t="s">
        <v>491</v>
      </c>
      <c r="D437" s="17" t="s">
        <v>226</v>
      </c>
      <c r="E437" s="17" t="s">
        <v>41</v>
      </c>
      <c r="F437" s="659" t="s">
        <v>41</v>
      </c>
      <c r="G437" s="660" t="s">
        <v>44</v>
      </c>
      <c r="H437" s="660" t="s">
        <v>45</v>
      </c>
      <c r="I437" s="661" t="s">
        <v>46</v>
      </c>
      <c r="J437" s="17"/>
      <c r="K437" s="33">
        <f>K438+K484</f>
        <v>640423.30900000012</v>
      </c>
      <c r="L437" s="33">
        <f>L438+L484</f>
        <v>7899.0999999999976</v>
      </c>
      <c r="M437" s="33">
        <f>M438+M484</f>
        <v>648322.4090000001</v>
      </c>
    </row>
    <row r="438" spans="1:13" s="156" customFormat="1" ht="36" customHeight="1" x14ac:dyDescent="0.35">
      <c r="A438" s="18"/>
      <c r="B438" s="31" t="s">
        <v>208</v>
      </c>
      <c r="C438" s="32" t="s">
        <v>491</v>
      </c>
      <c r="D438" s="17" t="s">
        <v>226</v>
      </c>
      <c r="E438" s="17" t="s">
        <v>41</v>
      </c>
      <c r="F438" s="659" t="s">
        <v>41</v>
      </c>
      <c r="G438" s="660" t="s">
        <v>47</v>
      </c>
      <c r="H438" s="660" t="s">
        <v>45</v>
      </c>
      <c r="I438" s="661" t="s">
        <v>46</v>
      </c>
      <c r="J438" s="17"/>
      <c r="K438" s="33">
        <f>K439</f>
        <v>637348.50900000008</v>
      </c>
      <c r="L438" s="33">
        <f>L439</f>
        <v>7899.0999999999976</v>
      </c>
      <c r="M438" s="33">
        <f>M439</f>
        <v>645247.60900000005</v>
      </c>
    </row>
    <row r="439" spans="1:13" s="156" customFormat="1" ht="18.75" customHeight="1" x14ac:dyDescent="0.35">
      <c r="A439" s="18"/>
      <c r="B439" s="31" t="s">
        <v>274</v>
      </c>
      <c r="C439" s="32" t="s">
        <v>491</v>
      </c>
      <c r="D439" s="17" t="s">
        <v>226</v>
      </c>
      <c r="E439" s="17" t="s">
        <v>41</v>
      </c>
      <c r="F439" s="659" t="s">
        <v>41</v>
      </c>
      <c r="G439" s="660" t="s">
        <v>47</v>
      </c>
      <c r="H439" s="660" t="s">
        <v>41</v>
      </c>
      <c r="I439" s="661" t="s">
        <v>46</v>
      </c>
      <c r="J439" s="17"/>
      <c r="K439" s="33">
        <f>K448+K451+K460+K464+K468+K440+K445+K477+K457+K455+K480+K474</f>
        <v>637348.50900000008</v>
      </c>
      <c r="L439" s="33">
        <f>L448+L451+L460+L464+L468+L440+L445+L477+L457+L455+L480+L474+L471</f>
        <v>7899.0999999999976</v>
      </c>
      <c r="M439" s="33">
        <f>M448+M451+M460+M464+M468+M440+M445+M477+M457+M455+M480+M474+M471</f>
        <v>645247.60900000005</v>
      </c>
    </row>
    <row r="440" spans="1:13" s="152" customFormat="1" ht="35.25" customHeight="1" x14ac:dyDescent="0.35">
      <c r="A440" s="18"/>
      <c r="B440" s="34" t="s">
        <v>540</v>
      </c>
      <c r="C440" s="32" t="s">
        <v>491</v>
      </c>
      <c r="D440" s="17" t="s">
        <v>226</v>
      </c>
      <c r="E440" s="17" t="s">
        <v>41</v>
      </c>
      <c r="F440" s="659" t="s">
        <v>41</v>
      </c>
      <c r="G440" s="660" t="s">
        <v>47</v>
      </c>
      <c r="H440" s="660" t="s">
        <v>41</v>
      </c>
      <c r="I440" s="661" t="s">
        <v>93</v>
      </c>
      <c r="J440" s="17"/>
      <c r="K440" s="33">
        <f>K443+K444+K442+K441</f>
        <v>68209.709000000003</v>
      </c>
      <c r="L440" s="33">
        <f>L443+L444+L442+L441</f>
        <v>-3.4106051316484809E-13</v>
      </c>
      <c r="M440" s="33">
        <f>M443+M444+M442+M441</f>
        <v>68209.709000000003</v>
      </c>
    </row>
    <row r="441" spans="1:13" s="152" customFormat="1" ht="103.95" customHeight="1" x14ac:dyDescent="0.35">
      <c r="A441" s="18"/>
      <c r="B441" s="31" t="s">
        <v>51</v>
      </c>
      <c r="C441" s="32" t="s">
        <v>491</v>
      </c>
      <c r="D441" s="17" t="s">
        <v>226</v>
      </c>
      <c r="E441" s="17" t="s">
        <v>41</v>
      </c>
      <c r="F441" s="659" t="s">
        <v>41</v>
      </c>
      <c r="G441" s="660" t="s">
        <v>47</v>
      </c>
      <c r="H441" s="660" t="s">
        <v>41</v>
      </c>
      <c r="I441" s="661" t="s">
        <v>93</v>
      </c>
      <c r="J441" s="17" t="s">
        <v>52</v>
      </c>
      <c r="K441" s="33">
        <f>319.1+6.4</f>
        <v>325.5</v>
      </c>
      <c r="L441" s="33">
        <f>M441-K441</f>
        <v>0</v>
      </c>
      <c r="M441" s="33">
        <f>319.1+6.4</f>
        <v>325.5</v>
      </c>
    </row>
    <row r="442" spans="1:13" s="152" customFormat="1" ht="56.25" customHeight="1" x14ac:dyDescent="0.35">
      <c r="A442" s="18"/>
      <c r="B442" s="31" t="s">
        <v>57</v>
      </c>
      <c r="C442" s="32" t="s">
        <v>491</v>
      </c>
      <c r="D442" s="17" t="s">
        <v>226</v>
      </c>
      <c r="E442" s="17" t="s">
        <v>41</v>
      </c>
      <c r="F442" s="659" t="s">
        <v>41</v>
      </c>
      <c r="G442" s="660" t="s">
        <v>47</v>
      </c>
      <c r="H442" s="660" t="s">
        <v>41</v>
      </c>
      <c r="I442" s="661" t="s">
        <v>93</v>
      </c>
      <c r="J442" s="17" t="s">
        <v>58</v>
      </c>
      <c r="K442" s="33">
        <f>5512.9+137.709</f>
        <v>5650.6089999999995</v>
      </c>
      <c r="L442" s="33">
        <f>M442-K442</f>
        <v>-90.100000000000364</v>
      </c>
      <c r="M442" s="33">
        <f>5512.9+137.709-90-0.1</f>
        <v>5560.5089999999991</v>
      </c>
    </row>
    <row r="443" spans="1:13" s="152" customFormat="1" ht="56.25" customHeight="1" x14ac:dyDescent="0.35">
      <c r="A443" s="18"/>
      <c r="B443" s="31" t="s">
        <v>78</v>
      </c>
      <c r="C443" s="32" t="s">
        <v>491</v>
      </c>
      <c r="D443" s="17" t="s">
        <v>226</v>
      </c>
      <c r="E443" s="17" t="s">
        <v>41</v>
      </c>
      <c r="F443" s="659" t="s">
        <v>41</v>
      </c>
      <c r="G443" s="660" t="s">
        <v>47</v>
      </c>
      <c r="H443" s="660" t="s">
        <v>41</v>
      </c>
      <c r="I443" s="661" t="s">
        <v>93</v>
      </c>
      <c r="J443" s="17" t="s">
        <v>79</v>
      </c>
      <c r="K443" s="33">
        <f>61585.5+81.7</f>
        <v>61667.199999999997</v>
      </c>
      <c r="L443" s="33">
        <f>M443-K443</f>
        <v>0</v>
      </c>
      <c r="M443" s="33">
        <f>61585.5+81.7</f>
        <v>61667.199999999997</v>
      </c>
    </row>
    <row r="444" spans="1:13" s="152" customFormat="1" ht="18.75" customHeight="1" x14ac:dyDescent="0.35">
      <c r="A444" s="18"/>
      <c r="B444" s="31" t="s">
        <v>59</v>
      </c>
      <c r="C444" s="32" t="s">
        <v>491</v>
      </c>
      <c r="D444" s="17" t="s">
        <v>226</v>
      </c>
      <c r="E444" s="17" t="s">
        <v>41</v>
      </c>
      <c r="F444" s="659" t="s">
        <v>41</v>
      </c>
      <c r="G444" s="660" t="s">
        <v>47</v>
      </c>
      <c r="H444" s="660" t="s">
        <v>41</v>
      </c>
      <c r="I444" s="661" t="s">
        <v>93</v>
      </c>
      <c r="J444" s="17" t="s">
        <v>60</v>
      </c>
      <c r="K444" s="33">
        <v>566.4</v>
      </c>
      <c r="L444" s="33">
        <f>M444-K444</f>
        <v>90.100000000000023</v>
      </c>
      <c r="M444" s="33">
        <f>566.4+0.1+90</f>
        <v>656.5</v>
      </c>
    </row>
    <row r="445" spans="1:13" s="152" customFormat="1" ht="20.25" customHeight="1" x14ac:dyDescent="0.35">
      <c r="A445" s="18"/>
      <c r="B445" s="31" t="s">
        <v>541</v>
      </c>
      <c r="C445" s="32" t="s">
        <v>491</v>
      </c>
      <c r="D445" s="17" t="s">
        <v>226</v>
      </c>
      <c r="E445" s="17" t="s">
        <v>41</v>
      </c>
      <c r="F445" s="659" t="s">
        <v>41</v>
      </c>
      <c r="G445" s="660" t="s">
        <v>47</v>
      </c>
      <c r="H445" s="660" t="s">
        <v>41</v>
      </c>
      <c r="I445" s="661" t="s">
        <v>399</v>
      </c>
      <c r="J445" s="17"/>
      <c r="K445" s="33">
        <f>K447+K446</f>
        <v>7184.9000000000005</v>
      </c>
      <c r="L445" s="33">
        <f>L447+L446</f>
        <v>108.5</v>
      </c>
      <c r="M445" s="33">
        <f>M447+M446</f>
        <v>7293.4000000000005</v>
      </c>
    </row>
    <row r="446" spans="1:13" s="152" customFormat="1" ht="37.950000000000003" customHeight="1" x14ac:dyDescent="0.35">
      <c r="A446" s="18"/>
      <c r="B446" s="31" t="s">
        <v>57</v>
      </c>
      <c r="C446" s="32" t="s">
        <v>491</v>
      </c>
      <c r="D446" s="17" t="s">
        <v>226</v>
      </c>
      <c r="E446" s="17" t="s">
        <v>41</v>
      </c>
      <c r="F446" s="659" t="s">
        <v>41</v>
      </c>
      <c r="G446" s="660" t="s">
        <v>47</v>
      </c>
      <c r="H446" s="660" t="s">
        <v>41</v>
      </c>
      <c r="I446" s="661" t="s">
        <v>399</v>
      </c>
      <c r="J446" s="17" t="s">
        <v>58</v>
      </c>
      <c r="K446" s="33">
        <f>1071-475.2</f>
        <v>595.79999999999995</v>
      </c>
      <c r="L446" s="33">
        <f>M446-K446</f>
        <v>0</v>
      </c>
      <c r="M446" s="33">
        <f>1071-475.2</f>
        <v>595.79999999999995</v>
      </c>
    </row>
    <row r="447" spans="1:13" s="152" customFormat="1" ht="56.25" customHeight="1" x14ac:dyDescent="0.35">
      <c r="A447" s="18"/>
      <c r="B447" s="31" t="s">
        <v>78</v>
      </c>
      <c r="C447" s="32" t="s">
        <v>491</v>
      </c>
      <c r="D447" s="17" t="s">
        <v>226</v>
      </c>
      <c r="E447" s="17" t="s">
        <v>41</v>
      </c>
      <c r="F447" s="659" t="s">
        <v>41</v>
      </c>
      <c r="G447" s="660" t="s">
        <v>47</v>
      </c>
      <c r="H447" s="660" t="s">
        <v>41</v>
      </c>
      <c r="I447" s="661" t="s">
        <v>399</v>
      </c>
      <c r="J447" s="17" t="s">
        <v>79</v>
      </c>
      <c r="K447" s="33">
        <f>6021.3+249+228+90.8</f>
        <v>6589.1</v>
      </c>
      <c r="L447" s="33">
        <f>M447-K447</f>
        <v>108.5</v>
      </c>
      <c r="M447" s="33">
        <f>6021.3+249+228+90.8+30+78.5</f>
        <v>6697.6</v>
      </c>
    </row>
    <row r="448" spans="1:13" s="156" customFormat="1" ht="56.25" customHeight="1" x14ac:dyDescent="0.35">
      <c r="A448" s="18"/>
      <c r="B448" s="31" t="s">
        <v>209</v>
      </c>
      <c r="C448" s="32" t="s">
        <v>491</v>
      </c>
      <c r="D448" s="17" t="s">
        <v>226</v>
      </c>
      <c r="E448" s="17" t="s">
        <v>41</v>
      </c>
      <c r="F448" s="659" t="s">
        <v>41</v>
      </c>
      <c r="G448" s="660" t="s">
        <v>47</v>
      </c>
      <c r="H448" s="660" t="s">
        <v>41</v>
      </c>
      <c r="I448" s="661" t="s">
        <v>275</v>
      </c>
      <c r="J448" s="17"/>
      <c r="K448" s="33">
        <f t="shared" ref="K448" si="83">SUM(K449:K450)</f>
        <v>28981.7</v>
      </c>
      <c r="L448" s="33">
        <f t="shared" ref="L448" si="84">SUM(L449:L450)</f>
        <v>4740.5999999999976</v>
      </c>
      <c r="M448" s="33">
        <f t="shared" ref="M448" si="85">SUM(M449:M450)</f>
        <v>33722.300000000003</v>
      </c>
    </row>
    <row r="449" spans="1:13" s="156" customFormat="1" ht="56.25" customHeight="1" x14ac:dyDescent="0.35">
      <c r="A449" s="18"/>
      <c r="B449" s="31" t="s">
        <v>57</v>
      </c>
      <c r="C449" s="32" t="s">
        <v>491</v>
      </c>
      <c r="D449" s="17" t="s">
        <v>226</v>
      </c>
      <c r="E449" s="17" t="s">
        <v>41</v>
      </c>
      <c r="F449" s="659" t="s">
        <v>41</v>
      </c>
      <c r="G449" s="660" t="s">
        <v>47</v>
      </c>
      <c r="H449" s="660" t="s">
        <v>41</v>
      </c>
      <c r="I449" s="661" t="s">
        <v>275</v>
      </c>
      <c r="J449" s="17" t="s">
        <v>58</v>
      </c>
      <c r="K449" s="33">
        <v>4061.3</v>
      </c>
      <c r="L449" s="33">
        <f>M449-K449</f>
        <v>1043.1999999999998</v>
      </c>
      <c r="M449" s="33">
        <f>4061.3+121.2+168+754</f>
        <v>5104.5</v>
      </c>
    </row>
    <row r="450" spans="1:13" s="156" customFormat="1" ht="56.25" customHeight="1" x14ac:dyDescent="0.35">
      <c r="A450" s="18"/>
      <c r="B450" s="31" t="s">
        <v>78</v>
      </c>
      <c r="C450" s="32" t="s">
        <v>491</v>
      </c>
      <c r="D450" s="17" t="s">
        <v>226</v>
      </c>
      <c r="E450" s="17" t="s">
        <v>41</v>
      </c>
      <c r="F450" s="659" t="s">
        <v>41</v>
      </c>
      <c r="G450" s="660" t="s">
        <v>47</v>
      </c>
      <c r="H450" s="660" t="s">
        <v>41</v>
      </c>
      <c r="I450" s="661" t="s">
        <v>275</v>
      </c>
      <c r="J450" s="17" t="s">
        <v>79</v>
      </c>
      <c r="K450" s="33">
        <f>23174.4+561+42+225+42+205+42+210+42+155+42+180</f>
        <v>24920.400000000001</v>
      </c>
      <c r="L450" s="33">
        <f>M450-K450</f>
        <v>3697.3999999999978</v>
      </c>
      <c r="M450" s="33">
        <f>23174.4+561+42+225+42+205+42+210+42+155+42+180+630+3012+35.6+19.8</f>
        <v>28617.8</v>
      </c>
    </row>
    <row r="451" spans="1:13" s="156" customFormat="1" ht="37.5" customHeight="1" x14ac:dyDescent="0.35">
      <c r="A451" s="18"/>
      <c r="B451" s="31" t="s">
        <v>210</v>
      </c>
      <c r="C451" s="32" t="s">
        <v>491</v>
      </c>
      <c r="D451" s="17" t="s">
        <v>226</v>
      </c>
      <c r="E451" s="17" t="s">
        <v>41</v>
      </c>
      <c r="F451" s="659" t="s">
        <v>41</v>
      </c>
      <c r="G451" s="660" t="s">
        <v>47</v>
      </c>
      <c r="H451" s="660" t="s">
        <v>41</v>
      </c>
      <c r="I451" s="661" t="s">
        <v>276</v>
      </c>
      <c r="J451" s="17"/>
      <c r="K451" s="33">
        <f>SUM(K452:K454)</f>
        <v>20070.099999999999</v>
      </c>
      <c r="L451" s="33">
        <f>SUM(L452:L454)</f>
        <v>0</v>
      </c>
      <c r="M451" s="33">
        <f>SUM(M452:M454)</f>
        <v>20070.099999999999</v>
      </c>
    </row>
    <row r="452" spans="1:13" s="156" customFormat="1" ht="56.25" customHeight="1" x14ac:dyDescent="0.35">
      <c r="A452" s="18"/>
      <c r="B452" s="31" t="s">
        <v>57</v>
      </c>
      <c r="C452" s="32" t="s">
        <v>491</v>
      </c>
      <c r="D452" s="17" t="s">
        <v>226</v>
      </c>
      <c r="E452" s="17" t="s">
        <v>41</v>
      </c>
      <c r="F452" s="659" t="s">
        <v>41</v>
      </c>
      <c r="G452" s="660" t="s">
        <v>47</v>
      </c>
      <c r="H452" s="660" t="s">
        <v>41</v>
      </c>
      <c r="I452" s="661" t="s">
        <v>276</v>
      </c>
      <c r="J452" s="17" t="s">
        <v>58</v>
      </c>
      <c r="K452" s="33">
        <f>252.7+90.8</f>
        <v>343.5</v>
      </c>
      <c r="L452" s="33">
        <f>M452-K452</f>
        <v>0</v>
      </c>
      <c r="M452" s="33">
        <f>252.7+90.8</f>
        <v>343.5</v>
      </c>
    </row>
    <row r="453" spans="1:13" s="156" customFormat="1" ht="56.25" customHeight="1" x14ac:dyDescent="0.35">
      <c r="A453" s="18"/>
      <c r="B453" s="140" t="s">
        <v>205</v>
      </c>
      <c r="C453" s="32" t="s">
        <v>491</v>
      </c>
      <c r="D453" s="17" t="s">
        <v>226</v>
      </c>
      <c r="E453" s="17" t="s">
        <v>41</v>
      </c>
      <c r="F453" s="659" t="s">
        <v>41</v>
      </c>
      <c r="G453" s="660" t="s">
        <v>47</v>
      </c>
      <c r="H453" s="660" t="s">
        <v>41</v>
      </c>
      <c r="I453" s="661" t="s">
        <v>276</v>
      </c>
      <c r="J453" s="17" t="s">
        <v>206</v>
      </c>
      <c r="K453" s="33">
        <f>3000+1173.4+1120</f>
        <v>5293.4</v>
      </c>
      <c r="L453" s="33">
        <f>M453-K453</f>
        <v>0</v>
      </c>
      <c r="M453" s="33">
        <f>3000+1173.4+1120</f>
        <v>5293.4</v>
      </c>
    </row>
    <row r="454" spans="1:13" s="156" customFormat="1" ht="56.25" customHeight="1" x14ac:dyDescent="0.35">
      <c r="A454" s="18"/>
      <c r="B454" s="31" t="s">
        <v>78</v>
      </c>
      <c r="C454" s="32" t="s">
        <v>491</v>
      </c>
      <c r="D454" s="17" t="s">
        <v>226</v>
      </c>
      <c r="E454" s="17" t="s">
        <v>41</v>
      </c>
      <c r="F454" s="659" t="s">
        <v>41</v>
      </c>
      <c r="G454" s="660" t="s">
        <v>47</v>
      </c>
      <c r="H454" s="660" t="s">
        <v>41</v>
      </c>
      <c r="I454" s="661" t="s">
        <v>276</v>
      </c>
      <c r="J454" s="17" t="s">
        <v>79</v>
      </c>
      <c r="K454" s="33">
        <f>10298.1+4135.1</f>
        <v>14433.2</v>
      </c>
      <c r="L454" s="33">
        <f>M454-K454</f>
        <v>0</v>
      </c>
      <c r="M454" s="33">
        <f>10298.1+4135.1</f>
        <v>14433.2</v>
      </c>
    </row>
    <row r="455" spans="1:13" s="156" customFormat="1" ht="56.25" customHeight="1" x14ac:dyDescent="0.35">
      <c r="A455" s="18"/>
      <c r="B455" s="31" t="s">
        <v>684</v>
      </c>
      <c r="C455" s="32" t="s">
        <v>491</v>
      </c>
      <c r="D455" s="17" t="s">
        <v>226</v>
      </c>
      <c r="E455" s="17" t="s">
        <v>41</v>
      </c>
      <c r="F455" s="659" t="s">
        <v>41</v>
      </c>
      <c r="G455" s="660" t="s">
        <v>47</v>
      </c>
      <c r="H455" s="660" t="s">
        <v>41</v>
      </c>
      <c r="I455" s="661" t="s">
        <v>685</v>
      </c>
      <c r="J455" s="17"/>
      <c r="K455" s="33">
        <f>K456</f>
        <v>30</v>
      </c>
      <c r="L455" s="33">
        <f>L456</f>
        <v>0</v>
      </c>
      <c r="M455" s="33">
        <f>M456</f>
        <v>30</v>
      </c>
    </row>
    <row r="456" spans="1:13" s="156" customFormat="1" ht="56.25" customHeight="1" x14ac:dyDescent="0.35">
      <c r="A456" s="18"/>
      <c r="B456" s="31" t="s">
        <v>78</v>
      </c>
      <c r="C456" s="32" t="s">
        <v>491</v>
      </c>
      <c r="D456" s="17" t="s">
        <v>226</v>
      </c>
      <c r="E456" s="17" t="s">
        <v>41</v>
      </c>
      <c r="F456" s="659" t="s">
        <v>41</v>
      </c>
      <c r="G456" s="660" t="s">
        <v>47</v>
      </c>
      <c r="H456" s="660" t="s">
        <v>41</v>
      </c>
      <c r="I456" s="661" t="s">
        <v>685</v>
      </c>
      <c r="J456" s="17" t="s">
        <v>79</v>
      </c>
      <c r="K456" s="33">
        <v>30</v>
      </c>
      <c r="L456" s="33">
        <f>M456-K456</f>
        <v>0</v>
      </c>
      <c r="M456" s="33">
        <v>30</v>
      </c>
    </row>
    <row r="457" spans="1:13" s="156" customFormat="1" ht="201" customHeight="1" x14ac:dyDescent="0.35">
      <c r="A457" s="18"/>
      <c r="B457" s="31" t="s">
        <v>745</v>
      </c>
      <c r="C457" s="32" t="s">
        <v>491</v>
      </c>
      <c r="D457" s="17" t="s">
        <v>226</v>
      </c>
      <c r="E457" s="17" t="s">
        <v>41</v>
      </c>
      <c r="F457" s="659" t="s">
        <v>41</v>
      </c>
      <c r="G457" s="660" t="s">
        <v>47</v>
      </c>
      <c r="H457" s="660" t="s">
        <v>41</v>
      </c>
      <c r="I457" s="661" t="s">
        <v>686</v>
      </c>
      <c r="J457" s="17"/>
      <c r="K457" s="33">
        <f>K458+K459</f>
        <v>33409.299999999996</v>
      </c>
      <c r="L457" s="33">
        <f>L458+L459</f>
        <v>0</v>
      </c>
      <c r="M457" s="33">
        <f>M458+M459</f>
        <v>33409.299999999996</v>
      </c>
    </row>
    <row r="458" spans="1:13" s="156" customFormat="1" ht="111" customHeight="1" x14ac:dyDescent="0.35">
      <c r="A458" s="18"/>
      <c r="B458" s="31" t="s">
        <v>51</v>
      </c>
      <c r="C458" s="32" t="s">
        <v>491</v>
      </c>
      <c r="D458" s="17" t="s">
        <v>226</v>
      </c>
      <c r="E458" s="17" t="s">
        <v>41</v>
      </c>
      <c r="F458" s="659" t="s">
        <v>41</v>
      </c>
      <c r="G458" s="660" t="s">
        <v>47</v>
      </c>
      <c r="H458" s="660" t="s">
        <v>41</v>
      </c>
      <c r="I458" s="661" t="s">
        <v>686</v>
      </c>
      <c r="J458" s="17" t="s">
        <v>52</v>
      </c>
      <c r="K458" s="33">
        <v>2734.2</v>
      </c>
      <c r="L458" s="33">
        <f>M458-K458</f>
        <v>0</v>
      </c>
      <c r="M458" s="33">
        <v>2734.2</v>
      </c>
    </row>
    <row r="459" spans="1:13" s="156" customFormat="1" ht="56.25" customHeight="1" x14ac:dyDescent="0.35">
      <c r="A459" s="18"/>
      <c r="B459" s="31" t="s">
        <v>78</v>
      </c>
      <c r="C459" s="32" t="s">
        <v>491</v>
      </c>
      <c r="D459" s="17" t="s">
        <v>226</v>
      </c>
      <c r="E459" s="17" t="s">
        <v>41</v>
      </c>
      <c r="F459" s="659" t="s">
        <v>41</v>
      </c>
      <c r="G459" s="660" t="s">
        <v>47</v>
      </c>
      <c r="H459" s="660" t="s">
        <v>41</v>
      </c>
      <c r="I459" s="661" t="s">
        <v>686</v>
      </c>
      <c r="J459" s="17" t="s">
        <v>79</v>
      </c>
      <c r="K459" s="33">
        <v>30675.1</v>
      </c>
      <c r="L459" s="33">
        <f>M459-K459</f>
        <v>0</v>
      </c>
      <c r="M459" s="33">
        <v>30675.1</v>
      </c>
    </row>
    <row r="460" spans="1:13" s="156" customFormat="1" ht="181.2" customHeight="1" x14ac:dyDescent="0.35">
      <c r="A460" s="18"/>
      <c r="B460" s="31" t="s">
        <v>270</v>
      </c>
      <c r="C460" s="32" t="s">
        <v>491</v>
      </c>
      <c r="D460" s="17" t="s">
        <v>226</v>
      </c>
      <c r="E460" s="17" t="s">
        <v>41</v>
      </c>
      <c r="F460" s="659" t="s">
        <v>41</v>
      </c>
      <c r="G460" s="660" t="s">
        <v>47</v>
      </c>
      <c r="H460" s="660" t="s">
        <v>41</v>
      </c>
      <c r="I460" s="661" t="s">
        <v>271</v>
      </c>
      <c r="J460" s="17"/>
      <c r="K460" s="33">
        <f>SUM(K461:K463)</f>
        <v>1595.1</v>
      </c>
      <c r="L460" s="33">
        <f>SUM(L461:L463)</f>
        <v>0</v>
      </c>
      <c r="M460" s="33">
        <f>SUM(M461:M463)</f>
        <v>1595.1</v>
      </c>
    </row>
    <row r="461" spans="1:13" s="156" customFormat="1" ht="112.5" customHeight="1" x14ac:dyDescent="0.35">
      <c r="A461" s="18"/>
      <c r="B461" s="31" t="s">
        <v>51</v>
      </c>
      <c r="C461" s="32" t="s">
        <v>491</v>
      </c>
      <c r="D461" s="17" t="s">
        <v>226</v>
      </c>
      <c r="E461" s="17" t="s">
        <v>41</v>
      </c>
      <c r="F461" s="659" t="s">
        <v>41</v>
      </c>
      <c r="G461" s="660" t="s">
        <v>47</v>
      </c>
      <c r="H461" s="660" t="s">
        <v>41</v>
      </c>
      <c r="I461" s="661" t="s">
        <v>271</v>
      </c>
      <c r="J461" s="17" t="s">
        <v>52</v>
      </c>
      <c r="K461" s="33">
        <v>99.7</v>
      </c>
      <c r="L461" s="33">
        <f>M461-K461</f>
        <v>0</v>
      </c>
      <c r="M461" s="33">
        <v>99.7</v>
      </c>
    </row>
    <row r="462" spans="1:13" s="156" customFormat="1" ht="37.5" customHeight="1" x14ac:dyDescent="0.35">
      <c r="A462" s="18"/>
      <c r="B462" s="31" t="s">
        <v>122</v>
      </c>
      <c r="C462" s="32" t="s">
        <v>491</v>
      </c>
      <c r="D462" s="17" t="s">
        <v>226</v>
      </c>
      <c r="E462" s="17" t="s">
        <v>41</v>
      </c>
      <c r="F462" s="659" t="s">
        <v>41</v>
      </c>
      <c r="G462" s="660" t="s">
        <v>47</v>
      </c>
      <c r="H462" s="660" t="s">
        <v>41</v>
      </c>
      <c r="I462" s="661" t="s">
        <v>271</v>
      </c>
      <c r="J462" s="17" t="s">
        <v>123</v>
      </c>
      <c r="K462" s="33">
        <v>6.6</v>
      </c>
      <c r="L462" s="33">
        <f>M462-K462</f>
        <v>0</v>
      </c>
      <c r="M462" s="33">
        <v>6.6</v>
      </c>
    </row>
    <row r="463" spans="1:13" s="156" customFormat="1" ht="56.25" customHeight="1" x14ac:dyDescent="0.35">
      <c r="A463" s="18"/>
      <c r="B463" s="31" t="s">
        <v>78</v>
      </c>
      <c r="C463" s="32" t="s">
        <v>491</v>
      </c>
      <c r="D463" s="17" t="s">
        <v>226</v>
      </c>
      <c r="E463" s="17" t="s">
        <v>41</v>
      </c>
      <c r="F463" s="659" t="s">
        <v>41</v>
      </c>
      <c r="G463" s="660" t="s">
        <v>47</v>
      </c>
      <c r="H463" s="660" t="s">
        <v>41</v>
      </c>
      <c r="I463" s="661" t="s">
        <v>271</v>
      </c>
      <c r="J463" s="17" t="s">
        <v>79</v>
      </c>
      <c r="K463" s="33">
        <f>1595.1-99.7-6.6</f>
        <v>1488.8</v>
      </c>
      <c r="L463" s="33">
        <f>M463-K463</f>
        <v>0</v>
      </c>
      <c r="M463" s="33">
        <f>1595.1-99.7-6.6</f>
        <v>1488.8</v>
      </c>
    </row>
    <row r="464" spans="1:13" s="156" customFormat="1" ht="115.5" customHeight="1" x14ac:dyDescent="0.35">
      <c r="A464" s="18"/>
      <c r="B464" s="31" t="s">
        <v>354</v>
      </c>
      <c r="C464" s="32" t="s">
        <v>491</v>
      </c>
      <c r="D464" s="17" t="s">
        <v>226</v>
      </c>
      <c r="E464" s="17" t="s">
        <v>41</v>
      </c>
      <c r="F464" s="659" t="s">
        <v>41</v>
      </c>
      <c r="G464" s="660" t="s">
        <v>47</v>
      </c>
      <c r="H464" s="660" t="s">
        <v>41</v>
      </c>
      <c r="I464" s="661" t="s">
        <v>272</v>
      </c>
      <c r="J464" s="17"/>
      <c r="K464" s="33">
        <f>K465+K466+K467</f>
        <v>402579.3</v>
      </c>
      <c r="L464" s="33">
        <f>L465+L466+L467</f>
        <v>0</v>
      </c>
      <c r="M464" s="33">
        <f>M465+M466+M467</f>
        <v>402579.3</v>
      </c>
    </row>
    <row r="465" spans="1:13" s="156" customFormat="1" ht="112.5" customHeight="1" x14ac:dyDescent="0.35">
      <c r="A465" s="18"/>
      <c r="B465" s="31" t="s">
        <v>51</v>
      </c>
      <c r="C465" s="32" t="s">
        <v>491</v>
      </c>
      <c r="D465" s="17" t="s">
        <v>226</v>
      </c>
      <c r="E465" s="17" t="s">
        <v>41</v>
      </c>
      <c r="F465" s="659" t="s">
        <v>41</v>
      </c>
      <c r="G465" s="660" t="s">
        <v>47</v>
      </c>
      <c r="H465" s="660" t="s">
        <v>41</v>
      </c>
      <c r="I465" s="661" t="s">
        <v>272</v>
      </c>
      <c r="J465" s="17" t="s">
        <v>52</v>
      </c>
      <c r="K465" s="33">
        <v>26623.599999999999</v>
      </c>
      <c r="L465" s="33">
        <f>M465-K465</f>
        <v>0</v>
      </c>
      <c r="M465" s="33">
        <v>26623.599999999999</v>
      </c>
    </row>
    <row r="466" spans="1:13" s="156" customFormat="1" ht="56.25" customHeight="1" x14ac:dyDescent="0.35">
      <c r="A466" s="18"/>
      <c r="B466" s="31" t="s">
        <v>57</v>
      </c>
      <c r="C466" s="32" t="s">
        <v>491</v>
      </c>
      <c r="D466" s="17" t="s">
        <v>226</v>
      </c>
      <c r="E466" s="17" t="s">
        <v>41</v>
      </c>
      <c r="F466" s="659" t="s">
        <v>41</v>
      </c>
      <c r="G466" s="660" t="s">
        <v>47</v>
      </c>
      <c r="H466" s="660" t="s">
        <v>41</v>
      </c>
      <c r="I466" s="661" t="s">
        <v>272</v>
      </c>
      <c r="J466" s="17" t="s">
        <v>58</v>
      </c>
      <c r="K466" s="33">
        <v>3027.7</v>
      </c>
      <c r="L466" s="33">
        <f>M466-K466</f>
        <v>0</v>
      </c>
      <c r="M466" s="33">
        <v>3027.7</v>
      </c>
    </row>
    <row r="467" spans="1:13" s="156" customFormat="1" ht="56.25" customHeight="1" x14ac:dyDescent="0.35">
      <c r="A467" s="18"/>
      <c r="B467" s="31" t="s">
        <v>78</v>
      </c>
      <c r="C467" s="32" t="s">
        <v>491</v>
      </c>
      <c r="D467" s="17" t="s">
        <v>226</v>
      </c>
      <c r="E467" s="17" t="s">
        <v>41</v>
      </c>
      <c r="F467" s="659" t="s">
        <v>41</v>
      </c>
      <c r="G467" s="660" t="s">
        <v>47</v>
      </c>
      <c r="H467" s="660" t="s">
        <v>41</v>
      </c>
      <c r="I467" s="661" t="s">
        <v>272</v>
      </c>
      <c r="J467" s="17" t="s">
        <v>79</v>
      </c>
      <c r="K467" s="33">
        <v>372928</v>
      </c>
      <c r="L467" s="33">
        <f>M467-K467</f>
        <v>0</v>
      </c>
      <c r="M467" s="33">
        <v>372928</v>
      </c>
    </row>
    <row r="468" spans="1:13" s="152" customFormat="1" ht="93.75" customHeight="1" x14ac:dyDescent="0.35">
      <c r="A468" s="18"/>
      <c r="B468" s="31" t="s">
        <v>211</v>
      </c>
      <c r="C468" s="32" t="s">
        <v>491</v>
      </c>
      <c r="D468" s="17" t="s">
        <v>226</v>
      </c>
      <c r="E468" s="17" t="s">
        <v>41</v>
      </c>
      <c r="F468" s="659" t="s">
        <v>41</v>
      </c>
      <c r="G468" s="660" t="s">
        <v>47</v>
      </c>
      <c r="H468" s="660" t="s">
        <v>41</v>
      </c>
      <c r="I468" s="661" t="s">
        <v>277</v>
      </c>
      <c r="J468" s="17"/>
      <c r="K468" s="33">
        <f t="shared" ref="K468" si="86">SUM(K469:K470)</f>
        <v>2260.9</v>
      </c>
      <c r="L468" s="33">
        <f t="shared" ref="L468" si="87">SUM(L469:L470)</f>
        <v>0</v>
      </c>
      <c r="M468" s="33">
        <f t="shared" ref="M468" si="88">SUM(M469:M470)</f>
        <v>2260.9</v>
      </c>
    </row>
    <row r="469" spans="1:13" s="152" customFormat="1" ht="56.25" customHeight="1" x14ac:dyDescent="0.35">
      <c r="A469" s="18"/>
      <c r="B469" s="31" t="s">
        <v>57</v>
      </c>
      <c r="C469" s="32" t="s">
        <v>491</v>
      </c>
      <c r="D469" s="17" t="s">
        <v>226</v>
      </c>
      <c r="E469" s="17" t="s">
        <v>41</v>
      </c>
      <c r="F469" s="659" t="s">
        <v>41</v>
      </c>
      <c r="G469" s="660" t="s">
        <v>47</v>
      </c>
      <c r="H469" s="660" t="s">
        <v>41</v>
      </c>
      <c r="I469" s="661" t="s">
        <v>277</v>
      </c>
      <c r="J469" s="17" t="s">
        <v>58</v>
      </c>
      <c r="K469" s="33">
        <v>106.9</v>
      </c>
      <c r="L469" s="33">
        <f>M469-K469</f>
        <v>0</v>
      </c>
      <c r="M469" s="33">
        <v>106.9</v>
      </c>
    </row>
    <row r="470" spans="1:13" s="152" customFormat="1" ht="56.25" customHeight="1" x14ac:dyDescent="0.35">
      <c r="A470" s="18"/>
      <c r="B470" s="31" t="s">
        <v>78</v>
      </c>
      <c r="C470" s="32" t="s">
        <v>491</v>
      </c>
      <c r="D470" s="17" t="s">
        <v>226</v>
      </c>
      <c r="E470" s="17" t="s">
        <v>41</v>
      </c>
      <c r="F470" s="659" t="s">
        <v>41</v>
      </c>
      <c r="G470" s="660" t="s">
        <v>47</v>
      </c>
      <c r="H470" s="660" t="s">
        <v>41</v>
      </c>
      <c r="I470" s="661" t="s">
        <v>277</v>
      </c>
      <c r="J470" s="17" t="s">
        <v>79</v>
      </c>
      <c r="K470" s="33">
        <v>2154</v>
      </c>
      <c r="L470" s="33">
        <f>M470-K470</f>
        <v>0</v>
      </c>
      <c r="M470" s="33">
        <v>2154</v>
      </c>
    </row>
    <row r="471" spans="1:13" s="152" customFormat="1" ht="54" x14ac:dyDescent="0.35">
      <c r="A471" s="18"/>
      <c r="B471" s="31" t="s">
        <v>793</v>
      </c>
      <c r="C471" s="32" t="s">
        <v>491</v>
      </c>
      <c r="D471" s="17" t="s">
        <v>226</v>
      </c>
      <c r="E471" s="17" t="s">
        <v>41</v>
      </c>
      <c r="F471" s="659" t="s">
        <v>41</v>
      </c>
      <c r="G471" s="660" t="s">
        <v>47</v>
      </c>
      <c r="H471" s="660" t="s">
        <v>41</v>
      </c>
      <c r="I471" s="661" t="s">
        <v>792</v>
      </c>
      <c r="J471" s="17"/>
      <c r="K471" s="33"/>
      <c r="L471" s="33">
        <f>L472+L473</f>
        <v>3050</v>
      </c>
      <c r="M471" s="33">
        <f>M472+M473</f>
        <v>3050</v>
      </c>
    </row>
    <row r="472" spans="1:13" s="152" customFormat="1" ht="54" x14ac:dyDescent="0.35">
      <c r="A472" s="18"/>
      <c r="B472" s="31" t="s">
        <v>57</v>
      </c>
      <c r="C472" s="32" t="s">
        <v>491</v>
      </c>
      <c r="D472" s="17" t="s">
        <v>226</v>
      </c>
      <c r="E472" s="17" t="s">
        <v>41</v>
      </c>
      <c r="F472" s="659" t="s">
        <v>41</v>
      </c>
      <c r="G472" s="660" t="s">
        <v>47</v>
      </c>
      <c r="H472" s="660" t="s">
        <v>41</v>
      </c>
      <c r="I472" s="661" t="s">
        <v>792</v>
      </c>
      <c r="J472" s="17" t="s">
        <v>58</v>
      </c>
      <c r="K472" s="33"/>
      <c r="L472" s="33">
        <f t="shared" ref="L472:L473" si="89">M472-K472</f>
        <v>1100</v>
      </c>
      <c r="M472" s="33">
        <v>1100</v>
      </c>
    </row>
    <row r="473" spans="1:13" s="152" customFormat="1" ht="54" x14ac:dyDescent="0.35">
      <c r="A473" s="18"/>
      <c r="B473" s="31" t="s">
        <v>78</v>
      </c>
      <c r="C473" s="32" t="s">
        <v>491</v>
      </c>
      <c r="D473" s="17" t="s">
        <v>226</v>
      </c>
      <c r="E473" s="17" t="s">
        <v>41</v>
      </c>
      <c r="F473" s="659" t="s">
        <v>41</v>
      </c>
      <c r="G473" s="660" t="s">
        <v>47</v>
      </c>
      <c r="H473" s="660" t="s">
        <v>41</v>
      </c>
      <c r="I473" s="661" t="s">
        <v>792</v>
      </c>
      <c r="J473" s="17" t="s">
        <v>79</v>
      </c>
      <c r="K473" s="33"/>
      <c r="L473" s="33">
        <f t="shared" si="89"/>
        <v>1950</v>
      </c>
      <c r="M473" s="33">
        <v>1950</v>
      </c>
    </row>
    <row r="474" spans="1:13" s="152" customFormat="1" ht="157.5" customHeight="1" x14ac:dyDescent="0.35">
      <c r="A474" s="18"/>
      <c r="B474" s="31" t="s">
        <v>723</v>
      </c>
      <c r="C474" s="32" t="s">
        <v>491</v>
      </c>
      <c r="D474" s="17" t="s">
        <v>226</v>
      </c>
      <c r="E474" s="17" t="s">
        <v>41</v>
      </c>
      <c r="F474" s="659" t="s">
        <v>41</v>
      </c>
      <c r="G474" s="660" t="s">
        <v>47</v>
      </c>
      <c r="H474" s="660" t="s">
        <v>41</v>
      </c>
      <c r="I474" s="661" t="s">
        <v>722</v>
      </c>
      <c r="J474" s="17"/>
      <c r="K474" s="33">
        <f>K475+K476</f>
        <v>1196.0999999999999</v>
      </c>
      <c r="L474" s="33">
        <f>L475+L476</f>
        <v>0</v>
      </c>
      <c r="M474" s="33">
        <f>M475+M476</f>
        <v>1196.0999999999999</v>
      </c>
    </row>
    <row r="475" spans="1:13" s="152" customFormat="1" ht="56.25" customHeight="1" x14ac:dyDescent="0.35">
      <c r="A475" s="18"/>
      <c r="B475" s="31" t="s">
        <v>57</v>
      </c>
      <c r="C475" s="32" t="s">
        <v>491</v>
      </c>
      <c r="D475" s="17" t="s">
        <v>226</v>
      </c>
      <c r="E475" s="17" t="s">
        <v>41</v>
      </c>
      <c r="F475" s="659" t="s">
        <v>41</v>
      </c>
      <c r="G475" s="660" t="s">
        <v>47</v>
      </c>
      <c r="H475" s="660" t="s">
        <v>41</v>
      </c>
      <c r="I475" s="661" t="s">
        <v>722</v>
      </c>
      <c r="J475" s="17" t="s">
        <v>58</v>
      </c>
      <c r="K475" s="33">
        <v>15</v>
      </c>
      <c r="L475" s="33">
        <f>M475-K475</f>
        <v>0</v>
      </c>
      <c r="M475" s="33">
        <v>15</v>
      </c>
    </row>
    <row r="476" spans="1:13" s="152" customFormat="1" ht="56.25" customHeight="1" x14ac:dyDescent="0.35">
      <c r="A476" s="18"/>
      <c r="B476" s="31" t="s">
        <v>78</v>
      </c>
      <c r="C476" s="32" t="s">
        <v>491</v>
      </c>
      <c r="D476" s="17" t="s">
        <v>226</v>
      </c>
      <c r="E476" s="17" t="s">
        <v>41</v>
      </c>
      <c r="F476" s="659" t="s">
        <v>41</v>
      </c>
      <c r="G476" s="660" t="s">
        <v>47</v>
      </c>
      <c r="H476" s="660" t="s">
        <v>41</v>
      </c>
      <c r="I476" s="661" t="s">
        <v>722</v>
      </c>
      <c r="J476" s="17" t="s">
        <v>79</v>
      </c>
      <c r="K476" s="33">
        <v>1181.0999999999999</v>
      </c>
      <c r="L476" s="33">
        <f>M476-K476</f>
        <v>0</v>
      </c>
      <c r="M476" s="33">
        <v>1181.0999999999999</v>
      </c>
    </row>
    <row r="477" spans="1:13" s="152" customFormat="1" ht="93.75" customHeight="1" x14ac:dyDescent="0.35">
      <c r="A477" s="18"/>
      <c r="B477" s="31" t="s">
        <v>530</v>
      </c>
      <c r="C477" s="32" t="s">
        <v>491</v>
      </c>
      <c r="D477" s="17" t="s">
        <v>226</v>
      </c>
      <c r="E477" s="17" t="s">
        <v>41</v>
      </c>
      <c r="F477" s="659" t="s">
        <v>41</v>
      </c>
      <c r="G477" s="660" t="s">
        <v>47</v>
      </c>
      <c r="H477" s="660" t="s">
        <v>41</v>
      </c>
      <c r="I477" s="661" t="s">
        <v>529</v>
      </c>
      <c r="J477" s="17"/>
      <c r="K477" s="33">
        <f>K478+K479</f>
        <v>59054.899999999994</v>
      </c>
      <c r="L477" s="33">
        <f>L478+L479</f>
        <v>0</v>
      </c>
      <c r="M477" s="33">
        <f>M478+M479</f>
        <v>59054.899999999994</v>
      </c>
    </row>
    <row r="478" spans="1:13" s="152" customFormat="1" ht="56.25" customHeight="1" x14ac:dyDescent="0.35">
      <c r="A478" s="18"/>
      <c r="B478" s="31" t="s">
        <v>57</v>
      </c>
      <c r="C478" s="32" t="s">
        <v>491</v>
      </c>
      <c r="D478" s="17" t="s">
        <v>226</v>
      </c>
      <c r="E478" s="17" t="s">
        <v>41</v>
      </c>
      <c r="F478" s="659" t="s">
        <v>41</v>
      </c>
      <c r="G478" s="660" t="s">
        <v>47</v>
      </c>
      <c r="H478" s="660" t="s">
        <v>41</v>
      </c>
      <c r="I478" s="661" t="s">
        <v>529</v>
      </c>
      <c r="J478" s="17" t="s">
        <v>58</v>
      </c>
      <c r="K478" s="33">
        <f>1799+45</f>
        <v>1844</v>
      </c>
      <c r="L478" s="33">
        <f>M478-K478</f>
        <v>0</v>
      </c>
      <c r="M478" s="33">
        <f>1799+45</f>
        <v>1844</v>
      </c>
    </row>
    <row r="479" spans="1:13" s="152" customFormat="1" ht="56.25" customHeight="1" x14ac:dyDescent="0.35">
      <c r="A479" s="18"/>
      <c r="B479" s="31" t="s">
        <v>78</v>
      </c>
      <c r="C479" s="32" t="s">
        <v>491</v>
      </c>
      <c r="D479" s="17" t="s">
        <v>226</v>
      </c>
      <c r="E479" s="17" t="s">
        <v>41</v>
      </c>
      <c r="F479" s="659" t="s">
        <v>41</v>
      </c>
      <c r="G479" s="660" t="s">
        <v>47</v>
      </c>
      <c r="H479" s="660" t="s">
        <v>41</v>
      </c>
      <c r="I479" s="661" t="s">
        <v>529</v>
      </c>
      <c r="J479" s="17" t="s">
        <v>79</v>
      </c>
      <c r="K479" s="33">
        <f>56105.7+1105.2</f>
        <v>57210.899999999994</v>
      </c>
      <c r="L479" s="33">
        <f>M479-K479</f>
        <v>0</v>
      </c>
      <c r="M479" s="33">
        <f>56105.7+1105.2</f>
        <v>57210.899999999994</v>
      </c>
    </row>
    <row r="480" spans="1:13" s="152" customFormat="1" ht="90" x14ac:dyDescent="0.35">
      <c r="A480" s="18"/>
      <c r="B480" s="31" t="s">
        <v>720</v>
      </c>
      <c r="C480" s="32" t="s">
        <v>491</v>
      </c>
      <c r="D480" s="17" t="s">
        <v>226</v>
      </c>
      <c r="E480" s="17" t="s">
        <v>41</v>
      </c>
      <c r="F480" s="659" t="s">
        <v>41</v>
      </c>
      <c r="G480" s="660" t="s">
        <v>47</v>
      </c>
      <c r="H480" s="660" t="s">
        <v>41</v>
      </c>
      <c r="I480" s="661" t="s">
        <v>719</v>
      </c>
      <c r="J480" s="17"/>
      <c r="K480" s="33">
        <f>SUM(K481:K483)</f>
        <v>12776.5</v>
      </c>
      <c r="L480" s="33">
        <f>SUM(L481:L483)</f>
        <v>0</v>
      </c>
      <c r="M480" s="33">
        <f>SUM(M481:M483)</f>
        <v>12776.5</v>
      </c>
    </row>
    <row r="481" spans="1:13" s="152" customFormat="1" ht="56.25" customHeight="1" x14ac:dyDescent="0.35">
      <c r="A481" s="18"/>
      <c r="B481" s="31" t="s">
        <v>57</v>
      </c>
      <c r="C481" s="32" t="s">
        <v>491</v>
      </c>
      <c r="D481" s="17" t="s">
        <v>226</v>
      </c>
      <c r="E481" s="17" t="s">
        <v>41</v>
      </c>
      <c r="F481" s="659" t="s">
        <v>41</v>
      </c>
      <c r="G481" s="660" t="s">
        <v>47</v>
      </c>
      <c r="H481" s="660" t="s">
        <v>41</v>
      </c>
      <c r="I481" s="661" t="s">
        <v>719</v>
      </c>
      <c r="J481" s="17" t="s">
        <v>58</v>
      </c>
      <c r="K481" s="33">
        <v>81.7</v>
      </c>
      <c r="L481" s="33">
        <f>M481-K481</f>
        <v>0</v>
      </c>
      <c r="M481" s="33">
        <v>81.7</v>
      </c>
    </row>
    <row r="482" spans="1:13" s="152" customFormat="1" ht="36" x14ac:dyDescent="0.35">
      <c r="A482" s="18"/>
      <c r="B482" s="31" t="s">
        <v>122</v>
      </c>
      <c r="C482" s="32" t="s">
        <v>491</v>
      </c>
      <c r="D482" s="17" t="s">
        <v>226</v>
      </c>
      <c r="E482" s="17" t="s">
        <v>41</v>
      </c>
      <c r="F482" s="659" t="s">
        <v>41</v>
      </c>
      <c r="G482" s="660" t="s">
        <v>47</v>
      </c>
      <c r="H482" s="660" t="s">
        <v>41</v>
      </c>
      <c r="I482" s="661" t="s">
        <v>719</v>
      </c>
      <c r="J482" s="17" t="s">
        <v>123</v>
      </c>
      <c r="K482" s="33">
        <v>65.2</v>
      </c>
      <c r="L482" s="33">
        <f>M482-K482</f>
        <v>0</v>
      </c>
      <c r="M482" s="33">
        <v>65.2</v>
      </c>
    </row>
    <row r="483" spans="1:13" s="152" customFormat="1" ht="56.25" customHeight="1" x14ac:dyDescent="0.35">
      <c r="A483" s="18"/>
      <c r="B483" s="31" t="s">
        <v>78</v>
      </c>
      <c r="C483" s="32" t="s">
        <v>491</v>
      </c>
      <c r="D483" s="17" t="s">
        <v>226</v>
      </c>
      <c r="E483" s="17" t="s">
        <v>41</v>
      </c>
      <c r="F483" s="659" t="s">
        <v>41</v>
      </c>
      <c r="G483" s="660" t="s">
        <v>47</v>
      </c>
      <c r="H483" s="660" t="s">
        <v>41</v>
      </c>
      <c r="I483" s="661" t="s">
        <v>719</v>
      </c>
      <c r="J483" s="17" t="s">
        <v>79</v>
      </c>
      <c r="K483" s="33">
        <v>12629.6</v>
      </c>
      <c r="L483" s="33">
        <f>M483-K483</f>
        <v>0</v>
      </c>
      <c r="M483" s="33">
        <v>12629.6</v>
      </c>
    </row>
    <row r="484" spans="1:13" s="156" customFormat="1" ht="56.25" customHeight="1" x14ac:dyDescent="0.35">
      <c r="A484" s="18"/>
      <c r="B484" s="31" t="s">
        <v>214</v>
      </c>
      <c r="C484" s="32" t="s">
        <v>491</v>
      </c>
      <c r="D484" s="17" t="s">
        <v>226</v>
      </c>
      <c r="E484" s="17" t="s">
        <v>41</v>
      </c>
      <c r="F484" s="659" t="s">
        <v>41</v>
      </c>
      <c r="G484" s="660" t="s">
        <v>32</v>
      </c>
      <c r="H484" s="660" t="s">
        <v>45</v>
      </c>
      <c r="I484" s="661" t="s">
        <v>46</v>
      </c>
      <c r="J484" s="17"/>
      <c r="K484" s="33">
        <f t="shared" ref="K484:M485" si="90">K485</f>
        <v>3074.8</v>
      </c>
      <c r="L484" s="33">
        <f t="shared" si="90"/>
        <v>0</v>
      </c>
      <c r="M484" s="33">
        <f t="shared" si="90"/>
        <v>3074.8</v>
      </c>
    </row>
    <row r="485" spans="1:13" s="156" customFormat="1" ht="37.5" customHeight="1" x14ac:dyDescent="0.35">
      <c r="A485" s="18"/>
      <c r="B485" s="31" t="s">
        <v>284</v>
      </c>
      <c r="C485" s="32" t="s">
        <v>491</v>
      </c>
      <c r="D485" s="17" t="s">
        <v>226</v>
      </c>
      <c r="E485" s="17" t="s">
        <v>41</v>
      </c>
      <c r="F485" s="659" t="s">
        <v>41</v>
      </c>
      <c r="G485" s="660" t="s">
        <v>32</v>
      </c>
      <c r="H485" s="660" t="s">
        <v>39</v>
      </c>
      <c r="I485" s="661" t="s">
        <v>46</v>
      </c>
      <c r="J485" s="17"/>
      <c r="K485" s="33">
        <f t="shared" si="90"/>
        <v>3074.8</v>
      </c>
      <c r="L485" s="33">
        <f t="shared" si="90"/>
        <v>0</v>
      </c>
      <c r="M485" s="33">
        <f t="shared" si="90"/>
        <v>3074.8</v>
      </c>
    </row>
    <row r="486" spans="1:13" s="156" customFormat="1" ht="253.2" customHeight="1" x14ac:dyDescent="0.35">
      <c r="A486" s="18"/>
      <c r="B486" s="31" t="s">
        <v>501</v>
      </c>
      <c r="C486" s="32" t="s">
        <v>491</v>
      </c>
      <c r="D486" s="17" t="s">
        <v>226</v>
      </c>
      <c r="E486" s="17" t="s">
        <v>41</v>
      </c>
      <c r="F486" s="659" t="s">
        <v>41</v>
      </c>
      <c r="G486" s="660" t="s">
        <v>32</v>
      </c>
      <c r="H486" s="660" t="s">
        <v>39</v>
      </c>
      <c r="I486" s="661" t="s">
        <v>355</v>
      </c>
      <c r="J486" s="17"/>
      <c r="K486" s="33">
        <f>K487</f>
        <v>3074.8</v>
      </c>
      <c r="L486" s="33">
        <f>L487</f>
        <v>0</v>
      </c>
      <c r="M486" s="33">
        <f>M487</f>
        <v>3074.8</v>
      </c>
    </row>
    <row r="487" spans="1:13" s="156" customFormat="1" ht="56.25" customHeight="1" x14ac:dyDescent="0.35">
      <c r="A487" s="18"/>
      <c r="B487" s="31" t="s">
        <v>78</v>
      </c>
      <c r="C487" s="32" t="s">
        <v>491</v>
      </c>
      <c r="D487" s="17" t="s">
        <v>226</v>
      </c>
      <c r="E487" s="17" t="s">
        <v>41</v>
      </c>
      <c r="F487" s="659" t="s">
        <v>41</v>
      </c>
      <c r="G487" s="660" t="s">
        <v>32</v>
      </c>
      <c r="H487" s="660" t="s">
        <v>39</v>
      </c>
      <c r="I487" s="661" t="s">
        <v>355</v>
      </c>
      <c r="J487" s="17" t="s">
        <v>79</v>
      </c>
      <c r="K487" s="33">
        <f>2294.8+780</f>
        <v>3074.8</v>
      </c>
      <c r="L487" s="33">
        <f>M487-K487</f>
        <v>0</v>
      </c>
      <c r="M487" s="33">
        <f>2294.8+780</f>
        <v>3074.8</v>
      </c>
    </row>
    <row r="488" spans="1:13" s="156" customFormat="1" ht="56.25" customHeight="1" x14ac:dyDescent="0.35">
      <c r="A488" s="18"/>
      <c r="B488" s="31" t="s">
        <v>82</v>
      </c>
      <c r="C488" s="32" t="s">
        <v>491</v>
      </c>
      <c r="D488" s="17" t="s">
        <v>226</v>
      </c>
      <c r="E488" s="17" t="s">
        <v>41</v>
      </c>
      <c r="F488" s="659" t="s">
        <v>83</v>
      </c>
      <c r="G488" s="660" t="s">
        <v>44</v>
      </c>
      <c r="H488" s="660" t="s">
        <v>45</v>
      </c>
      <c r="I488" s="661" t="s">
        <v>46</v>
      </c>
      <c r="J488" s="17"/>
      <c r="K488" s="33">
        <f t="shared" ref="K488:M490" si="91">K489</f>
        <v>7254.2</v>
      </c>
      <c r="L488" s="33">
        <f t="shared" si="91"/>
        <v>0</v>
      </c>
      <c r="M488" s="33">
        <f t="shared" si="91"/>
        <v>7254.2</v>
      </c>
    </row>
    <row r="489" spans="1:13" s="156" customFormat="1" ht="56.25" customHeight="1" x14ac:dyDescent="0.35">
      <c r="A489" s="18"/>
      <c r="B489" s="31" t="s">
        <v>127</v>
      </c>
      <c r="C489" s="32" t="s">
        <v>491</v>
      </c>
      <c r="D489" s="17" t="s">
        <v>226</v>
      </c>
      <c r="E489" s="17" t="s">
        <v>41</v>
      </c>
      <c r="F489" s="659" t="s">
        <v>83</v>
      </c>
      <c r="G489" s="660" t="s">
        <v>91</v>
      </c>
      <c r="H489" s="660" t="s">
        <v>45</v>
      </c>
      <c r="I489" s="661" t="s">
        <v>46</v>
      </c>
      <c r="J489" s="17"/>
      <c r="K489" s="33">
        <f t="shared" si="91"/>
        <v>7254.2</v>
      </c>
      <c r="L489" s="33">
        <f t="shared" si="91"/>
        <v>0</v>
      </c>
      <c r="M489" s="33">
        <f t="shared" si="91"/>
        <v>7254.2</v>
      </c>
    </row>
    <row r="490" spans="1:13" s="156" customFormat="1" ht="56.25" customHeight="1" x14ac:dyDescent="0.35">
      <c r="A490" s="18"/>
      <c r="B490" s="31" t="s">
        <v>273</v>
      </c>
      <c r="C490" s="32" t="s">
        <v>491</v>
      </c>
      <c r="D490" s="17" t="s">
        <v>226</v>
      </c>
      <c r="E490" s="17" t="s">
        <v>41</v>
      </c>
      <c r="F490" s="659" t="s">
        <v>83</v>
      </c>
      <c r="G490" s="660" t="s">
        <v>91</v>
      </c>
      <c r="H490" s="660" t="s">
        <v>39</v>
      </c>
      <c r="I490" s="661" t="s">
        <v>46</v>
      </c>
      <c r="J490" s="17"/>
      <c r="K490" s="33">
        <f t="shared" si="91"/>
        <v>7254.2</v>
      </c>
      <c r="L490" s="33">
        <f t="shared" si="91"/>
        <v>0</v>
      </c>
      <c r="M490" s="33">
        <f t="shared" si="91"/>
        <v>7254.2</v>
      </c>
    </row>
    <row r="491" spans="1:13" s="156" customFormat="1" ht="18" x14ac:dyDescent="0.35">
      <c r="A491" s="18"/>
      <c r="B491" s="31" t="s">
        <v>497</v>
      </c>
      <c r="C491" s="32" t="s">
        <v>491</v>
      </c>
      <c r="D491" s="17" t="s">
        <v>226</v>
      </c>
      <c r="E491" s="17" t="s">
        <v>41</v>
      </c>
      <c r="F491" s="659" t="s">
        <v>83</v>
      </c>
      <c r="G491" s="660" t="s">
        <v>91</v>
      </c>
      <c r="H491" s="660" t="s">
        <v>39</v>
      </c>
      <c r="I491" s="661" t="s">
        <v>498</v>
      </c>
      <c r="J491" s="17"/>
      <c r="K491" s="33">
        <f>K492+K493</f>
        <v>7254.2</v>
      </c>
      <c r="L491" s="33">
        <f>L492+L493</f>
        <v>0</v>
      </c>
      <c r="M491" s="33">
        <f>M492+M493</f>
        <v>7254.2</v>
      </c>
    </row>
    <row r="492" spans="1:13" s="156" customFormat="1" ht="56.25" customHeight="1" x14ac:dyDescent="0.35">
      <c r="A492" s="18"/>
      <c r="B492" s="31" t="s">
        <v>57</v>
      </c>
      <c r="C492" s="32" t="s">
        <v>491</v>
      </c>
      <c r="D492" s="17" t="s">
        <v>226</v>
      </c>
      <c r="E492" s="17" t="s">
        <v>41</v>
      </c>
      <c r="F492" s="659" t="s">
        <v>83</v>
      </c>
      <c r="G492" s="660" t="s">
        <v>91</v>
      </c>
      <c r="H492" s="660" t="s">
        <v>39</v>
      </c>
      <c r="I492" s="661" t="s">
        <v>498</v>
      </c>
      <c r="J492" s="17" t="s">
        <v>58</v>
      </c>
      <c r="K492" s="33">
        <v>905.2</v>
      </c>
      <c r="L492" s="33">
        <f>M492-K492</f>
        <v>0</v>
      </c>
      <c r="M492" s="33">
        <v>905.2</v>
      </c>
    </row>
    <row r="493" spans="1:13" s="156" customFormat="1" ht="56.25" customHeight="1" x14ac:dyDescent="0.35">
      <c r="A493" s="18"/>
      <c r="B493" s="31" t="s">
        <v>78</v>
      </c>
      <c r="C493" s="32" t="s">
        <v>491</v>
      </c>
      <c r="D493" s="17" t="s">
        <v>226</v>
      </c>
      <c r="E493" s="17" t="s">
        <v>41</v>
      </c>
      <c r="F493" s="659" t="s">
        <v>83</v>
      </c>
      <c r="G493" s="660" t="s">
        <v>91</v>
      </c>
      <c r="H493" s="660" t="s">
        <v>39</v>
      </c>
      <c r="I493" s="661" t="s">
        <v>498</v>
      </c>
      <c r="J493" s="17" t="s">
        <v>79</v>
      </c>
      <c r="K493" s="33">
        <v>6349</v>
      </c>
      <c r="L493" s="33">
        <f>M493-K493</f>
        <v>0</v>
      </c>
      <c r="M493" s="33">
        <v>6349</v>
      </c>
    </row>
    <row r="494" spans="1:13" s="156" customFormat="1" ht="18.75" customHeight="1" x14ac:dyDescent="0.35">
      <c r="A494" s="18"/>
      <c r="B494" s="31" t="s">
        <v>358</v>
      </c>
      <c r="C494" s="32" t="s">
        <v>491</v>
      </c>
      <c r="D494" s="17" t="s">
        <v>226</v>
      </c>
      <c r="E494" s="17" t="s">
        <v>65</v>
      </c>
      <c r="F494" s="659"/>
      <c r="G494" s="660"/>
      <c r="H494" s="660"/>
      <c r="I494" s="661"/>
      <c r="J494" s="17"/>
      <c r="K494" s="33">
        <f>K495</f>
        <v>64010.784999999996</v>
      </c>
      <c r="L494" s="33">
        <f>L495</f>
        <v>1199.9999999999991</v>
      </c>
      <c r="M494" s="33">
        <f>M495</f>
        <v>65210.785000000011</v>
      </c>
    </row>
    <row r="495" spans="1:13" s="156" customFormat="1" ht="56.25" customHeight="1" x14ac:dyDescent="0.35">
      <c r="A495" s="18"/>
      <c r="B495" s="119" t="s">
        <v>207</v>
      </c>
      <c r="C495" s="32" t="s">
        <v>491</v>
      </c>
      <c r="D495" s="17" t="s">
        <v>226</v>
      </c>
      <c r="E495" s="17" t="s">
        <v>65</v>
      </c>
      <c r="F495" s="659" t="s">
        <v>41</v>
      </c>
      <c r="G495" s="660" t="s">
        <v>44</v>
      </c>
      <c r="H495" s="660" t="s">
        <v>45</v>
      </c>
      <c r="I495" s="661" t="s">
        <v>46</v>
      </c>
      <c r="J495" s="17"/>
      <c r="K495" s="33">
        <f t="shared" ref="K495:M495" si="92">K496</f>
        <v>64010.784999999996</v>
      </c>
      <c r="L495" s="33">
        <f t="shared" si="92"/>
        <v>1199.9999999999991</v>
      </c>
      <c r="M495" s="33">
        <f t="shared" si="92"/>
        <v>65210.785000000011</v>
      </c>
    </row>
    <row r="496" spans="1:13" s="156" customFormat="1" ht="24" customHeight="1" x14ac:dyDescent="0.35">
      <c r="A496" s="18"/>
      <c r="B496" s="31" t="s">
        <v>212</v>
      </c>
      <c r="C496" s="32" t="s">
        <v>491</v>
      </c>
      <c r="D496" s="17" t="s">
        <v>226</v>
      </c>
      <c r="E496" s="17" t="s">
        <v>65</v>
      </c>
      <c r="F496" s="659" t="s">
        <v>41</v>
      </c>
      <c r="G496" s="660" t="s">
        <v>91</v>
      </c>
      <c r="H496" s="660" t="s">
        <v>45</v>
      </c>
      <c r="I496" s="661" t="s">
        <v>46</v>
      </c>
      <c r="J496" s="17"/>
      <c r="K496" s="33">
        <f>K497</f>
        <v>64010.784999999996</v>
      </c>
      <c r="L496" s="33">
        <f>L497</f>
        <v>1199.9999999999991</v>
      </c>
      <c r="M496" s="33">
        <f>M497</f>
        <v>65210.785000000011</v>
      </c>
    </row>
    <row r="497" spans="1:13" s="156" customFormat="1" ht="37.5" customHeight="1" x14ac:dyDescent="0.35">
      <c r="A497" s="18"/>
      <c r="B497" s="31" t="s">
        <v>278</v>
      </c>
      <c r="C497" s="32" t="s">
        <v>491</v>
      </c>
      <c r="D497" s="17" t="s">
        <v>226</v>
      </c>
      <c r="E497" s="17" t="s">
        <v>65</v>
      </c>
      <c r="F497" s="659" t="s">
        <v>41</v>
      </c>
      <c r="G497" s="660" t="s">
        <v>91</v>
      </c>
      <c r="H497" s="660" t="s">
        <v>39</v>
      </c>
      <c r="I497" s="661" t="s">
        <v>46</v>
      </c>
      <c r="J497" s="17"/>
      <c r="K497" s="33">
        <f>K498+K511+K503+K513+K506+K508</f>
        <v>64010.784999999996</v>
      </c>
      <c r="L497" s="33">
        <f>L498+L511+L503+L513+L506+L508+L515</f>
        <v>1199.9999999999991</v>
      </c>
      <c r="M497" s="33">
        <f>M498+M511+M503+M513+M506+M508+M515</f>
        <v>65210.785000000011</v>
      </c>
    </row>
    <row r="498" spans="1:13" s="156" customFormat="1" ht="37.5" customHeight="1" x14ac:dyDescent="0.35">
      <c r="A498" s="18"/>
      <c r="B498" s="34" t="s">
        <v>540</v>
      </c>
      <c r="C498" s="32" t="s">
        <v>491</v>
      </c>
      <c r="D498" s="17" t="s">
        <v>226</v>
      </c>
      <c r="E498" s="17" t="s">
        <v>65</v>
      </c>
      <c r="F498" s="659" t="s">
        <v>41</v>
      </c>
      <c r="G498" s="660" t="s">
        <v>91</v>
      </c>
      <c r="H498" s="660" t="s">
        <v>39</v>
      </c>
      <c r="I498" s="661" t="s">
        <v>93</v>
      </c>
      <c r="J498" s="17"/>
      <c r="K498" s="33">
        <f>K501+K499+K500+K502</f>
        <v>47325.485000000001</v>
      </c>
      <c r="L498" s="33">
        <f>L501+L499+L500+L502</f>
        <v>-8.2422957348171622E-13</v>
      </c>
      <c r="M498" s="33">
        <f>M501+M499+M500+M502</f>
        <v>47325.485000000008</v>
      </c>
    </row>
    <row r="499" spans="1:13" s="156" customFormat="1" ht="112.5" customHeight="1" x14ac:dyDescent="0.35">
      <c r="A499" s="18"/>
      <c r="B499" s="31" t="s">
        <v>51</v>
      </c>
      <c r="C499" s="32" t="s">
        <v>491</v>
      </c>
      <c r="D499" s="17" t="s">
        <v>226</v>
      </c>
      <c r="E499" s="17" t="s">
        <v>65</v>
      </c>
      <c r="F499" s="659" t="s">
        <v>41</v>
      </c>
      <c r="G499" s="660" t="s">
        <v>91</v>
      </c>
      <c r="H499" s="660" t="s">
        <v>39</v>
      </c>
      <c r="I499" s="661" t="s">
        <v>93</v>
      </c>
      <c r="J499" s="17" t="s">
        <v>52</v>
      </c>
      <c r="K499" s="33">
        <f>20543.4+54.4+273.7</f>
        <v>20871.500000000004</v>
      </c>
      <c r="L499" s="33">
        <f>M499-K499</f>
        <v>-245.70000000000073</v>
      </c>
      <c r="M499" s="33">
        <f>20543.4+54.4+273.7-245.7</f>
        <v>20625.800000000003</v>
      </c>
    </row>
    <row r="500" spans="1:13" s="156" customFormat="1" ht="56.25" customHeight="1" x14ac:dyDescent="0.35">
      <c r="A500" s="18"/>
      <c r="B500" s="31" t="s">
        <v>57</v>
      </c>
      <c r="C500" s="32" t="s">
        <v>491</v>
      </c>
      <c r="D500" s="17" t="s">
        <v>226</v>
      </c>
      <c r="E500" s="17" t="s">
        <v>65</v>
      </c>
      <c r="F500" s="659" t="s">
        <v>41</v>
      </c>
      <c r="G500" s="660" t="s">
        <v>91</v>
      </c>
      <c r="H500" s="660" t="s">
        <v>39</v>
      </c>
      <c r="I500" s="661" t="s">
        <v>93</v>
      </c>
      <c r="J500" s="17" t="s">
        <v>58</v>
      </c>
      <c r="K500" s="33">
        <f>2008+53.985</f>
        <v>2061.9850000000001</v>
      </c>
      <c r="L500" s="33">
        <f>M500-K500</f>
        <v>245.59999999999991</v>
      </c>
      <c r="M500" s="33">
        <f>2008+53.985-0.1+245.7</f>
        <v>2307.585</v>
      </c>
    </row>
    <row r="501" spans="1:13" s="156" customFormat="1" ht="56.25" customHeight="1" x14ac:dyDescent="0.35">
      <c r="A501" s="18"/>
      <c r="B501" s="31" t="s">
        <v>78</v>
      </c>
      <c r="C501" s="32" t="s">
        <v>491</v>
      </c>
      <c r="D501" s="17" t="s">
        <v>226</v>
      </c>
      <c r="E501" s="17" t="s">
        <v>65</v>
      </c>
      <c r="F501" s="659" t="s">
        <v>41</v>
      </c>
      <c r="G501" s="660" t="s">
        <v>91</v>
      </c>
      <c r="H501" s="660" t="s">
        <v>39</v>
      </c>
      <c r="I501" s="661" t="s">
        <v>93</v>
      </c>
      <c r="J501" s="17" t="s">
        <v>79</v>
      </c>
      <c r="K501" s="33">
        <f>28679.6+64.4-4465.2</f>
        <v>24278.799999999999</v>
      </c>
      <c r="L501" s="33">
        <f>M501-K501</f>
        <v>0</v>
      </c>
      <c r="M501" s="33">
        <f>28679.6+64.4-4465.2</f>
        <v>24278.799999999999</v>
      </c>
    </row>
    <row r="502" spans="1:13" s="156" customFormat="1" ht="18.75" customHeight="1" x14ac:dyDescent="0.35">
      <c r="A502" s="18"/>
      <c r="B502" s="31" t="s">
        <v>59</v>
      </c>
      <c r="C502" s="32" t="s">
        <v>491</v>
      </c>
      <c r="D502" s="17" t="s">
        <v>226</v>
      </c>
      <c r="E502" s="17" t="s">
        <v>65</v>
      </c>
      <c r="F502" s="659" t="s">
        <v>41</v>
      </c>
      <c r="G502" s="660" t="s">
        <v>91</v>
      </c>
      <c r="H502" s="660" t="s">
        <v>39</v>
      </c>
      <c r="I502" s="661" t="s">
        <v>93</v>
      </c>
      <c r="J502" s="17" t="s">
        <v>60</v>
      </c>
      <c r="K502" s="33">
        <v>113.2</v>
      </c>
      <c r="L502" s="33">
        <f>M502-K502</f>
        <v>9.9999999999994316E-2</v>
      </c>
      <c r="M502" s="33">
        <f>113.2+0.1</f>
        <v>113.3</v>
      </c>
    </row>
    <row r="503" spans="1:13" s="156" customFormat="1" ht="56.25" customHeight="1" x14ac:dyDescent="0.35">
      <c r="A503" s="18"/>
      <c r="B503" s="31" t="s">
        <v>209</v>
      </c>
      <c r="C503" s="32" t="s">
        <v>491</v>
      </c>
      <c r="D503" s="17" t="s">
        <v>226</v>
      </c>
      <c r="E503" s="17" t="s">
        <v>65</v>
      </c>
      <c r="F503" s="659" t="s">
        <v>41</v>
      </c>
      <c r="G503" s="660" t="s">
        <v>91</v>
      </c>
      <c r="H503" s="660" t="s">
        <v>39</v>
      </c>
      <c r="I503" s="661" t="s">
        <v>275</v>
      </c>
      <c r="J503" s="17"/>
      <c r="K503" s="33">
        <f>K505+K504</f>
        <v>1535</v>
      </c>
      <c r="L503" s="33">
        <f>L505+L504</f>
        <v>0</v>
      </c>
      <c r="M503" s="33">
        <f>M505+M504</f>
        <v>1535</v>
      </c>
    </row>
    <row r="504" spans="1:13" s="156" customFormat="1" ht="56.25" customHeight="1" x14ac:dyDescent="0.35">
      <c r="A504" s="18"/>
      <c r="B504" s="31" t="s">
        <v>57</v>
      </c>
      <c r="C504" s="32" t="s">
        <v>491</v>
      </c>
      <c r="D504" s="17" t="s">
        <v>226</v>
      </c>
      <c r="E504" s="17" t="s">
        <v>65</v>
      </c>
      <c r="F504" s="659" t="s">
        <v>41</v>
      </c>
      <c r="G504" s="660" t="s">
        <v>91</v>
      </c>
      <c r="H504" s="660" t="s">
        <v>39</v>
      </c>
      <c r="I504" s="661" t="s">
        <v>275</v>
      </c>
      <c r="J504" s="17" t="s">
        <v>58</v>
      </c>
      <c r="K504" s="33">
        <v>676.5</v>
      </c>
      <c r="L504" s="33">
        <f>M504-K504</f>
        <v>0</v>
      </c>
      <c r="M504" s="33">
        <v>676.5</v>
      </c>
    </row>
    <row r="505" spans="1:13" s="156" customFormat="1" ht="56.25" customHeight="1" x14ac:dyDescent="0.35">
      <c r="A505" s="18"/>
      <c r="B505" s="119" t="s">
        <v>78</v>
      </c>
      <c r="C505" s="32" t="s">
        <v>491</v>
      </c>
      <c r="D505" s="17" t="s">
        <v>226</v>
      </c>
      <c r="E505" s="17" t="s">
        <v>65</v>
      </c>
      <c r="F505" s="659" t="s">
        <v>41</v>
      </c>
      <c r="G505" s="660" t="s">
        <v>91</v>
      </c>
      <c r="H505" s="660" t="s">
        <v>39</v>
      </c>
      <c r="I505" s="661" t="s">
        <v>275</v>
      </c>
      <c r="J505" s="17" t="s">
        <v>79</v>
      </c>
      <c r="K505" s="33">
        <v>858.5</v>
      </c>
      <c r="L505" s="33">
        <f>M505-K505</f>
        <v>0</v>
      </c>
      <c r="M505" s="33">
        <v>858.5</v>
      </c>
    </row>
    <row r="506" spans="1:13" s="156" customFormat="1" ht="37.5" customHeight="1" x14ac:dyDescent="0.35">
      <c r="A506" s="18"/>
      <c r="B506" s="31" t="s">
        <v>210</v>
      </c>
      <c r="C506" s="32" t="s">
        <v>491</v>
      </c>
      <c r="D506" s="17" t="s">
        <v>226</v>
      </c>
      <c r="E506" s="17" t="s">
        <v>65</v>
      </c>
      <c r="F506" s="659" t="s">
        <v>41</v>
      </c>
      <c r="G506" s="660" t="s">
        <v>91</v>
      </c>
      <c r="H506" s="660" t="s">
        <v>39</v>
      </c>
      <c r="I506" s="661" t="s">
        <v>276</v>
      </c>
      <c r="J506" s="17"/>
      <c r="K506" s="33">
        <f>K507</f>
        <v>17</v>
      </c>
      <c r="L506" s="33">
        <f>L507</f>
        <v>0</v>
      </c>
      <c r="M506" s="33">
        <f>M507</f>
        <v>17</v>
      </c>
    </row>
    <row r="507" spans="1:13" s="156" customFormat="1" ht="56.25" customHeight="1" x14ac:dyDescent="0.35">
      <c r="A507" s="18"/>
      <c r="B507" s="119" t="s">
        <v>78</v>
      </c>
      <c r="C507" s="32" t="s">
        <v>491</v>
      </c>
      <c r="D507" s="17" t="s">
        <v>226</v>
      </c>
      <c r="E507" s="17" t="s">
        <v>65</v>
      </c>
      <c r="F507" s="659" t="s">
        <v>41</v>
      </c>
      <c r="G507" s="660" t="s">
        <v>91</v>
      </c>
      <c r="H507" s="660" t="s">
        <v>39</v>
      </c>
      <c r="I507" s="661" t="s">
        <v>276</v>
      </c>
      <c r="J507" s="17" t="s">
        <v>79</v>
      </c>
      <c r="K507" s="33">
        <v>17</v>
      </c>
      <c r="L507" s="33">
        <f>M507-K507</f>
        <v>0</v>
      </c>
      <c r="M507" s="33">
        <v>17</v>
      </c>
    </row>
    <row r="508" spans="1:13" s="156" customFormat="1" ht="56.25" customHeight="1" x14ac:dyDescent="0.35">
      <c r="A508" s="18"/>
      <c r="B508" s="119" t="s">
        <v>697</v>
      </c>
      <c r="C508" s="32" t="s">
        <v>491</v>
      </c>
      <c r="D508" s="17" t="s">
        <v>226</v>
      </c>
      <c r="E508" s="17" t="s">
        <v>65</v>
      </c>
      <c r="F508" s="659" t="s">
        <v>41</v>
      </c>
      <c r="G508" s="660" t="s">
        <v>91</v>
      </c>
      <c r="H508" s="660" t="s">
        <v>39</v>
      </c>
      <c r="I508" s="661" t="s">
        <v>696</v>
      </c>
      <c r="J508" s="17"/>
      <c r="K508" s="33">
        <f>SUM(K509:K510)</f>
        <v>4940.4000000000005</v>
      </c>
      <c r="L508" s="33">
        <f>SUM(L509:L510)</f>
        <v>0</v>
      </c>
      <c r="M508" s="33">
        <f>SUM(M509:M510)</f>
        <v>4940.4000000000005</v>
      </c>
    </row>
    <row r="509" spans="1:13" s="156" customFormat="1" ht="56.25" customHeight="1" x14ac:dyDescent="0.35">
      <c r="A509" s="18"/>
      <c r="B509" s="119" t="s">
        <v>78</v>
      </c>
      <c r="C509" s="32" t="s">
        <v>491</v>
      </c>
      <c r="D509" s="17" t="s">
        <v>226</v>
      </c>
      <c r="E509" s="17" t="s">
        <v>65</v>
      </c>
      <c r="F509" s="659" t="s">
        <v>41</v>
      </c>
      <c r="G509" s="660" t="s">
        <v>91</v>
      </c>
      <c r="H509" s="660" t="s">
        <v>39</v>
      </c>
      <c r="I509" s="661" t="s">
        <v>696</v>
      </c>
      <c r="J509" s="17" t="s">
        <v>79</v>
      </c>
      <c r="K509" s="33">
        <f>4465.2+121.3+121.3+121.3</f>
        <v>4829.1000000000004</v>
      </c>
      <c r="L509" s="33">
        <f>M509-K509</f>
        <v>0</v>
      </c>
      <c r="M509" s="33">
        <f>4465.2+121.3+121.3+121.3</f>
        <v>4829.1000000000004</v>
      </c>
    </row>
    <row r="510" spans="1:13" s="156" customFormat="1" ht="18" x14ac:dyDescent="0.35">
      <c r="A510" s="18"/>
      <c r="B510" s="31" t="s">
        <v>59</v>
      </c>
      <c r="C510" s="32" t="s">
        <v>491</v>
      </c>
      <c r="D510" s="17" t="s">
        <v>226</v>
      </c>
      <c r="E510" s="17" t="s">
        <v>65</v>
      </c>
      <c r="F510" s="659" t="s">
        <v>41</v>
      </c>
      <c r="G510" s="660" t="s">
        <v>91</v>
      </c>
      <c r="H510" s="660" t="s">
        <v>39</v>
      </c>
      <c r="I510" s="661" t="s">
        <v>696</v>
      </c>
      <c r="J510" s="17" t="s">
        <v>60</v>
      </c>
      <c r="K510" s="33">
        <v>111.3</v>
      </c>
      <c r="L510" s="33">
        <f>M510-K510</f>
        <v>0</v>
      </c>
      <c r="M510" s="33">
        <v>111.3</v>
      </c>
    </row>
    <row r="511" spans="1:13" s="156" customFormat="1" ht="181.95" customHeight="1" x14ac:dyDescent="0.35">
      <c r="A511" s="18"/>
      <c r="B511" s="31" t="s">
        <v>270</v>
      </c>
      <c r="C511" s="32" t="s">
        <v>491</v>
      </c>
      <c r="D511" s="17" t="s">
        <v>226</v>
      </c>
      <c r="E511" s="17" t="s">
        <v>65</v>
      </c>
      <c r="F511" s="659" t="s">
        <v>41</v>
      </c>
      <c r="G511" s="660" t="s">
        <v>91</v>
      </c>
      <c r="H511" s="660" t="s">
        <v>39</v>
      </c>
      <c r="I511" s="661" t="s">
        <v>271</v>
      </c>
      <c r="J511" s="17"/>
      <c r="K511" s="33">
        <f>K512</f>
        <v>106.1</v>
      </c>
      <c r="L511" s="33">
        <f>L512</f>
        <v>0</v>
      </c>
      <c r="M511" s="33">
        <f>M512</f>
        <v>106.1</v>
      </c>
    </row>
    <row r="512" spans="1:13" s="156" customFormat="1" ht="52.95" customHeight="1" x14ac:dyDescent="0.35">
      <c r="A512" s="18"/>
      <c r="B512" s="31" t="s">
        <v>78</v>
      </c>
      <c r="C512" s="32" t="s">
        <v>491</v>
      </c>
      <c r="D512" s="17" t="s">
        <v>226</v>
      </c>
      <c r="E512" s="17" t="s">
        <v>65</v>
      </c>
      <c r="F512" s="659" t="s">
        <v>41</v>
      </c>
      <c r="G512" s="660" t="s">
        <v>91</v>
      </c>
      <c r="H512" s="660" t="s">
        <v>39</v>
      </c>
      <c r="I512" s="661" t="s">
        <v>271</v>
      </c>
      <c r="J512" s="17" t="s">
        <v>79</v>
      </c>
      <c r="K512" s="33">
        <v>106.1</v>
      </c>
      <c r="L512" s="33">
        <f>M512-K512</f>
        <v>0</v>
      </c>
      <c r="M512" s="33">
        <v>106.1</v>
      </c>
    </row>
    <row r="513" spans="1:13" s="156" customFormat="1" ht="105" customHeight="1" x14ac:dyDescent="0.35">
      <c r="A513" s="18"/>
      <c r="B513" s="31" t="s">
        <v>354</v>
      </c>
      <c r="C513" s="32" t="s">
        <v>491</v>
      </c>
      <c r="D513" s="17" t="s">
        <v>226</v>
      </c>
      <c r="E513" s="17" t="s">
        <v>65</v>
      </c>
      <c r="F513" s="659" t="s">
        <v>41</v>
      </c>
      <c r="G513" s="660" t="s">
        <v>91</v>
      </c>
      <c r="H513" s="660" t="s">
        <v>39</v>
      </c>
      <c r="I513" s="661" t="s">
        <v>272</v>
      </c>
      <c r="J513" s="17"/>
      <c r="K513" s="33">
        <f>K514</f>
        <v>10086.799999999999</v>
      </c>
      <c r="L513" s="33">
        <f>L514</f>
        <v>0</v>
      </c>
      <c r="M513" s="33">
        <f>M514</f>
        <v>10086.799999999999</v>
      </c>
    </row>
    <row r="514" spans="1:13" s="156" customFormat="1" ht="56.25" customHeight="1" x14ac:dyDescent="0.35">
      <c r="A514" s="18"/>
      <c r="B514" s="31" t="s">
        <v>78</v>
      </c>
      <c r="C514" s="32" t="s">
        <v>491</v>
      </c>
      <c r="D514" s="17" t="s">
        <v>226</v>
      </c>
      <c r="E514" s="17" t="s">
        <v>65</v>
      </c>
      <c r="F514" s="659" t="s">
        <v>41</v>
      </c>
      <c r="G514" s="660" t="s">
        <v>91</v>
      </c>
      <c r="H514" s="660" t="s">
        <v>39</v>
      </c>
      <c r="I514" s="661" t="s">
        <v>272</v>
      </c>
      <c r="J514" s="17" t="s">
        <v>79</v>
      </c>
      <c r="K514" s="33">
        <v>10086.799999999999</v>
      </c>
      <c r="L514" s="33">
        <f>M514-K514</f>
        <v>0</v>
      </c>
      <c r="M514" s="33">
        <v>10086.799999999999</v>
      </c>
    </row>
    <row r="515" spans="1:13" s="156" customFormat="1" ht="56.25" customHeight="1" x14ac:dyDescent="0.35">
      <c r="A515" s="18"/>
      <c r="B515" s="31" t="s">
        <v>793</v>
      </c>
      <c r="C515" s="32" t="s">
        <v>491</v>
      </c>
      <c r="D515" s="17" t="s">
        <v>226</v>
      </c>
      <c r="E515" s="17" t="s">
        <v>65</v>
      </c>
      <c r="F515" s="659" t="s">
        <v>41</v>
      </c>
      <c r="G515" s="660" t="s">
        <v>91</v>
      </c>
      <c r="H515" s="660" t="s">
        <v>39</v>
      </c>
      <c r="I515" s="661" t="s">
        <v>792</v>
      </c>
      <c r="J515" s="17"/>
      <c r="K515" s="33"/>
      <c r="L515" s="33">
        <f>L516</f>
        <v>1200</v>
      </c>
      <c r="M515" s="33">
        <f>M516</f>
        <v>1200</v>
      </c>
    </row>
    <row r="516" spans="1:13" s="156" customFormat="1" ht="56.25" customHeight="1" x14ac:dyDescent="0.35">
      <c r="A516" s="18"/>
      <c r="B516" s="31" t="s">
        <v>78</v>
      </c>
      <c r="C516" s="32" t="s">
        <v>491</v>
      </c>
      <c r="D516" s="17" t="s">
        <v>226</v>
      </c>
      <c r="E516" s="17" t="s">
        <v>65</v>
      </c>
      <c r="F516" s="659" t="s">
        <v>41</v>
      </c>
      <c r="G516" s="660" t="s">
        <v>91</v>
      </c>
      <c r="H516" s="660" t="s">
        <v>39</v>
      </c>
      <c r="I516" s="661" t="s">
        <v>792</v>
      </c>
      <c r="J516" s="17" t="s">
        <v>79</v>
      </c>
      <c r="K516" s="33"/>
      <c r="L516" s="33">
        <f>M516-K516</f>
        <v>1200</v>
      </c>
      <c r="M516" s="33">
        <v>1200</v>
      </c>
    </row>
    <row r="517" spans="1:13" s="156" customFormat="1" ht="21" customHeight="1" x14ac:dyDescent="0.35">
      <c r="A517" s="18"/>
      <c r="B517" s="31" t="s">
        <v>359</v>
      </c>
      <c r="C517" s="32" t="s">
        <v>491</v>
      </c>
      <c r="D517" s="17" t="s">
        <v>226</v>
      </c>
      <c r="E517" s="17" t="s">
        <v>226</v>
      </c>
      <c r="F517" s="659"/>
      <c r="G517" s="660"/>
      <c r="H517" s="660"/>
      <c r="I517" s="661"/>
      <c r="J517" s="17"/>
      <c r="K517" s="33">
        <f t="shared" ref="K517:M518" si="93">K518</f>
        <v>5396.0999999999995</v>
      </c>
      <c r="L517" s="33">
        <f t="shared" si="93"/>
        <v>0</v>
      </c>
      <c r="M517" s="33">
        <f t="shared" si="93"/>
        <v>5396.0999999999995</v>
      </c>
    </row>
    <row r="518" spans="1:13" s="156" customFormat="1" ht="56.25" customHeight="1" x14ac:dyDescent="0.35">
      <c r="A518" s="18"/>
      <c r="B518" s="31" t="s">
        <v>207</v>
      </c>
      <c r="C518" s="32" t="s">
        <v>491</v>
      </c>
      <c r="D518" s="17" t="s">
        <v>226</v>
      </c>
      <c r="E518" s="17" t="s">
        <v>226</v>
      </c>
      <c r="F518" s="659" t="s">
        <v>41</v>
      </c>
      <c r="G518" s="660" t="s">
        <v>44</v>
      </c>
      <c r="H518" s="660" t="s">
        <v>45</v>
      </c>
      <c r="I518" s="661" t="s">
        <v>46</v>
      </c>
      <c r="J518" s="17"/>
      <c r="K518" s="33">
        <f t="shared" si="93"/>
        <v>5396.0999999999995</v>
      </c>
      <c r="L518" s="33">
        <f t="shared" si="93"/>
        <v>0</v>
      </c>
      <c r="M518" s="33">
        <f t="shared" si="93"/>
        <v>5396.0999999999995</v>
      </c>
    </row>
    <row r="519" spans="1:13" s="156" customFormat="1" ht="56.25" customHeight="1" x14ac:dyDescent="0.35">
      <c r="A519" s="18"/>
      <c r="B519" s="31" t="s">
        <v>214</v>
      </c>
      <c r="C519" s="32" t="s">
        <v>491</v>
      </c>
      <c r="D519" s="17" t="s">
        <v>226</v>
      </c>
      <c r="E519" s="17" t="s">
        <v>226</v>
      </c>
      <c r="F519" s="659" t="s">
        <v>41</v>
      </c>
      <c r="G519" s="660" t="s">
        <v>32</v>
      </c>
      <c r="H519" s="660" t="s">
        <v>45</v>
      </c>
      <c r="I519" s="661" t="s">
        <v>46</v>
      </c>
      <c r="J519" s="17"/>
      <c r="K519" s="33">
        <f>K520</f>
        <v>5396.0999999999995</v>
      </c>
      <c r="L519" s="33">
        <f>L520</f>
        <v>0</v>
      </c>
      <c r="M519" s="33">
        <f>M520</f>
        <v>5396.0999999999995</v>
      </c>
    </row>
    <row r="520" spans="1:13" s="156" customFormat="1" ht="56.25" customHeight="1" x14ac:dyDescent="0.35">
      <c r="A520" s="18"/>
      <c r="B520" s="31" t="s">
        <v>283</v>
      </c>
      <c r="C520" s="32" t="s">
        <v>491</v>
      </c>
      <c r="D520" s="17" t="s">
        <v>226</v>
      </c>
      <c r="E520" s="17" t="s">
        <v>226</v>
      </c>
      <c r="F520" s="659" t="s">
        <v>41</v>
      </c>
      <c r="G520" s="660" t="s">
        <v>32</v>
      </c>
      <c r="H520" s="660" t="s">
        <v>41</v>
      </c>
      <c r="I520" s="661" t="s">
        <v>46</v>
      </c>
      <c r="J520" s="17"/>
      <c r="K520" s="33">
        <f>K521+K523</f>
        <v>5396.0999999999995</v>
      </c>
      <c r="L520" s="33">
        <f>L521+L523</f>
        <v>0</v>
      </c>
      <c r="M520" s="33">
        <f>M521+M523</f>
        <v>5396.0999999999995</v>
      </c>
    </row>
    <row r="521" spans="1:13" s="156" customFormat="1" ht="35.25" customHeight="1" x14ac:dyDescent="0.35">
      <c r="A521" s="18"/>
      <c r="B521" s="31" t="s">
        <v>553</v>
      </c>
      <c r="C521" s="32" t="s">
        <v>491</v>
      </c>
      <c r="D521" s="17" t="s">
        <v>226</v>
      </c>
      <c r="E521" s="17" t="s">
        <v>226</v>
      </c>
      <c r="F521" s="659" t="s">
        <v>41</v>
      </c>
      <c r="G521" s="660" t="s">
        <v>32</v>
      </c>
      <c r="H521" s="660" t="s">
        <v>41</v>
      </c>
      <c r="I521" s="661" t="s">
        <v>552</v>
      </c>
      <c r="J521" s="17"/>
      <c r="K521" s="33">
        <f>K522</f>
        <v>1258.8</v>
      </c>
      <c r="L521" s="33">
        <f>L522</f>
        <v>0</v>
      </c>
      <c r="M521" s="33">
        <f>M522</f>
        <v>1258.8</v>
      </c>
    </row>
    <row r="522" spans="1:13" s="156" customFormat="1" ht="56.25" customHeight="1" x14ac:dyDescent="0.35">
      <c r="A522" s="18"/>
      <c r="B522" s="31" t="s">
        <v>78</v>
      </c>
      <c r="C522" s="32" t="s">
        <v>491</v>
      </c>
      <c r="D522" s="17" t="s">
        <v>226</v>
      </c>
      <c r="E522" s="17" t="s">
        <v>226</v>
      </c>
      <c r="F522" s="659" t="s">
        <v>41</v>
      </c>
      <c r="G522" s="660" t="s">
        <v>32</v>
      </c>
      <c r="H522" s="660" t="s">
        <v>41</v>
      </c>
      <c r="I522" s="661" t="s">
        <v>552</v>
      </c>
      <c r="J522" s="17" t="s">
        <v>79</v>
      </c>
      <c r="K522" s="33">
        <v>1258.8</v>
      </c>
      <c r="L522" s="33">
        <f>M522-K522</f>
        <v>0</v>
      </c>
      <c r="M522" s="33">
        <v>1258.8</v>
      </c>
    </row>
    <row r="523" spans="1:13" s="156" customFormat="1" ht="102" customHeight="1" x14ac:dyDescent="0.35">
      <c r="A523" s="18"/>
      <c r="B523" s="31" t="s">
        <v>508</v>
      </c>
      <c r="C523" s="32" t="s">
        <v>491</v>
      </c>
      <c r="D523" s="17" t="s">
        <v>226</v>
      </c>
      <c r="E523" s="17" t="s">
        <v>226</v>
      </c>
      <c r="F523" s="659" t="s">
        <v>41</v>
      </c>
      <c r="G523" s="660" t="s">
        <v>32</v>
      </c>
      <c r="H523" s="660" t="s">
        <v>41</v>
      </c>
      <c r="I523" s="661" t="s">
        <v>507</v>
      </c>
      <c r="J523" s="17"/>
      <c r="K523" s="33">
        <f>K524</f>
        <v>4137.2999999999993</v>
      </c>
      <c r="L523" s="33">
        <f>L524</f>
        <v>0</v>
      </c>
      <c r="M523" s="33">
        <f>M524</f>
        <v>4137.2999999999993</v>
      </c>
    </row>
    <row r="524" spans="1:13" s="156" customFormat="1" ht="56.25" customHeight="1" x14ac:dyDescent="0.35">
      <c r="A524" s="18"/>
      <c r="B524" s="31" t="s">
        <v>78</v>
      </c>
      <c r="C524" s="32" t="s">
        <v>491</v>
      </c>
      <c r="D524" s="17" t="s">
        <v>226</v>
      </c>
      <c r="E524" s="17" t="s">
        <v>226</v>
      </c>
      <c r="F524" s="659" t="s">
        <v>41</v>
      </c>
      <c r="G524" s="660" t="s">
        <v>32</v>
      </c>
      <c r="H524" s="660" t="s">
        <v>41</v>
      </c>
      <c r="I524" s="661" t="s">
        <v>507</v>
      </c>
      <c r="J524" s="17" t="s">
        <v>79</v>
      </c>
      <c r="K524" s="33">
        <f>6749.9-2612.6</f>
        <v>4137.2999999999993</v>
      </c>
      <c r="L524" s="33">
        <f>M524-K524</f>
        <v>0</v>
      </c>
      <c r="M524" s="33">
        <f>6749.9-2612.6</f>
        <v>4137.2999999999993</v>
      </c>
    </row>
    <row r="525" spans="1:13" s="156" customFormat="1" ht="18.75" customHeight="1" x14ac:dyDescent="0.35">
      <c r="A525" s="18"/>
      <c r="B525" s="31" t="s">
        <v>188</v>
      </c>
      <c r="C525" s="32" t="s">
        <v>491</v>
      </c>
      <c r="D525" s="17" t="s">
        <v>226</v>
      </c>
      <c r="E525" s="17" t="s">
        <v>81</v>
      </c>
      <c r="F525" s="659"/>
      <c r="G525" s="660"/>
      <c r="H525" s="660"/>
      <c r="I525" s="661"/>
      <c r="J525" s="17"/>
      <c r="K525" s="33">
        <f>K526</f>
        <v>72323.866999999984</v>
      </c>
      <c r="L525" s="33">
        <f>L526</f>
        <v>-682.20000000000073</v>
      </c>
      <c r="M525" s="33">
        <f>M526</f>
        <v>71641.666999999987</v>
      </c>
    </row>
    <row r="526" spans="1:13" s="156" customFormat="1" ht="56.25" customHeight="1" x14ac:dyDescent="0.35">
      <c r="A526" s="18"/>
      <c r="B526" s="31" t="s">
        <v>207</v>
      </c>
      <c r="C526" s="32" t="s">
        <v>491</v>
      </c>
      <c r="D526" s="17" t="s">
        <v>226</v>
      </c>
      <c r="E526" s="17" t="s">
        <v>81</v>
      </c>
      <c r="F526" s="659" t="s">
        <v>41</v>
      </c>
      <c r="G526" s="660" t="s">
        <v>44</v>
      </c>
      <c r="H526" s="660" t="s">
        <v>45</v>
      </c>
      <c r="I526" s="661" t="s">
        <v>46</v>
      </c>
      <c r="J526" s="17"/>
      <c r="K526" s="33">
        <f>K531+K527</f>
        <v>72323.866999999984</v>
      </c>
      <c r="L526" s="33">
        <f>L531+L527</f>
        <v>-682.20000000000073</v>
      </c>
      <c r="M526" s="33">
        <f>M531+M527</f>
        <v>71641.666999999987</v>
      </c>
    </row>
    <row r="527" spans="1:13" s="156" customFormat="1" ht="25.5" customHeight="1" x14ac:dyDescent="0.35">
      <c r="A527" s="18"/>
      <c r="B527" s="31" t="s">
        <v>212</v>
      </c>
      <c r="C527" s="32" t="s">
        <v>491</v>
      </c>
      <c r="D527" s="17" t="s">
        <v>226</v>
      </c>
      <c r="E527" s="17" t="s">
        <v>81</v>
      </c>
      <c r="F527" s="659" t="s">
        <v>41</v>
      </c>
      <c r="G527" s="660" t="s">
        <v>91</v>
      </c>
      <c r="H527" s="660" t="s">
        <v>45</v>
      </c>
      <c r="I527" s="661" t="s">
        <v>46</v>
      </c>
      <c r="J527" s="17"/>
      <c r="K527" s="33">
        <f t="shared" ref="K527:M529" si="94">K528</f>
        <v>54</v>
      </c>
      <c r="L527" s="33">
        <f t="shared" si="94"/>
        <v>0</v>
      </c>
      <c r="M527" s="33">
        <f t="shared" si="94"/>
        <v>54</v>
      </c>
    </row>
    <row r="528" spans="1:13" s="156" customFormat="1" ht="18.75" customHeight="1" x14ac:dyDescent="0.35">
      <c r="A528" s="18"/>
      <c r="B528" s="31" t="s">
        <v>279</v>
      </c>
      <c r="C528" s="32" t="s">
        <v>491</v>
      </c>
      <c r="D528" s="17" t="s">
        <v>226</v>
      </c>
      <c r="E528" s="17" t="s">
        <v>81</v>
      </c>
      <c r="F528" s="659" t="s">
        <v>41</v>
      </c>
      <c r="G528" s="660" t="s">
        <v>91</v>
      </c>
      <c r="H528" s="660" t="s">
        <v>41</v>
      </c>
      <c r="I528" s="661" t="s">
        <v>46</v>
      </c>
      <c r="J528" s="17"/>
      <c r="K528" s="33">
        <f t="shared" si="94"/>
        <v>54</v>
      </c>
      <c r="L528" s="33">
        <f t="shared" si="94"/>
        <v>0</v>
      </c>
      <c r="M528" s="33">
        <f t="shared" si="94"/>
        <v>54</v>
      </c>
    </row>
    <row r="529" spans="1:13" s="156" customFormat="1" ht="58.2" customHeight="1" x14ac:dyDescent="0.35">
      <c r="A529" s="18"/>
      <c r="B529" s="31" t="s">
        <v>280</v>
      </c>
      <c r="C529" s="32" t="s">
        <v>491</v>
      </c>
      <c r="D529" s="17" t="s">
        <v>226</v>
      </c>
      <c r="E529" s="17" t="s">
        <v>81</v>
      </c>
      <c r="F529" s="659" t="s">
        <v>41</v>
      </c>
      <c r="G529" s="660" t="s">
        <v>91</v>
      </c>
      <c r="H529" s="660" t="s">
        <v>41</v>
      </c>
      <c r="I529" s="661" t="s">
        <v>281</v>
      </c>
      <c r="J529" s="17"/>
      <c r="K529" s="33">
        <f t="shared" si="94"/>
        <v>54</v>
      </c>
      <c r="L529" s="33">
        <f t="shared" si="94"/>
        <v>0</v>
      </c>
      <c r="M529" s="33">
        <f t="shared" si="94"/>
        <v>54</v>
      </c>
    </row>
    <row r="530" spans="1:13" s="156" customFormat="1" ht="37.5" customHeight="1" x14ac:dyDescent="0.35">
      <c r="A530" s="18"/>
      <c r="B530" s="31" t="s">
        <v>122</v>
      </c>
      <c r="C530" s="32" t="s">
        <v>491</v>
      </c>
      <c r="D530" s="17" t="s">
        <v>226</v>
      </c>
      <c r="E530" s="17" t="s">
        <v>81</v>
      </c>
      <c r="F530" s="659" t="s">
        <v>41</v>
      </c>
      <c r="G530" s="660" t="s">
        <v>91</v>
      </c>
      <c r="H530" s="660" t="s">
        <v>41</v>
      </c>
      <c r="I530" s="661" t="s">
        <v>281</v>
      </c>
      <c r="J530" s="17" t="s">
        <v>123</v>
      </c>
      <c r="K530" s="33">
        <v>54</v>
      </c>
      <c r="L530" s="33">
        <f>M530-K530</f>
        <v>0</v>
      </c>
      <c r="M530" s="33">
        <v>54</v>
      </c>
    </row>
    <row r="531" spans="1:13" s="156" customFormat="1" ht="56.25" customHeight="1" x14ac:dyDescent="0.35">
      <c r="A531" s="18"/>
      <c r="B531" s="31" t="s">
        <v>214</v>
      </c>
      <c r="C531" s="32" t="s">
        <v>491</v>
      </c>
      <c r="D531" s="17" t="s">
        <v>226</v>
      </c>
      <c r="E531" s="17" t="s">
        <v>81</v>
      </c>
      <c r="F531" s="659" t="s">
        <v>41</v>
      </c>
      <c r="G531" s="660" t="s">
        <v>32</v>
      </c>
      <c r="H531" s="660" t="s">
        <v>45</v>
      </c>
      <c r="I531" s="661" t="s">
        <v>46</v>
      </c>
      <c r="J531" s="17"/>
      <c r="K531" s="33">
        <f t="shared" ref="K531:M531" si="95">K532</f>
        <v>72269.866999999984</v>
      </c>
      <c r="L531" s="33">
        <f t="shared" si="95"/>
        <v>-682.20000000000073</v>
      </c>
      <c r="M531" s="33">
        <f t="shared" si="95"/>
        <v>71587.666999999987</v>
      </c>
    </row>
    <row r="532" spans="1:13" s="156" customFormat="1" ht="37.5" customHeight="1" x14ac:dyDescent="0.35">
      <c r="A532" s="18"/>
      <c r="B532" s="31" t="s">
        <v>284</v>
      </c>
      <c r="C532" s="32" t="s">
        <v>491</v>
      </c>
      <c r="D532" s="17" t="s">
        <v>226</v>
      </c>
      <c r="E532" s="17" t="s">
        <v>81</v>
      </c>
      <c r="F532" s="659" t="s">
        <v>41</v>
      </c>
      <c r="G532" s="660" t="s">
        <v>32</v>
      </c>
      <c r="H532" s="660" t="s">
        <v>39</v>
      </c>
      <c r="I532" s="661" t="s">
        <v>46</v>
      </c>
      <c r="J532" s="17"/>
      <c r="K532" s="33">
        <f>K533+K537+K542+K546+K544</f>
        <v>72269.866999999984</v>
      </c>
      <c r="L532" s="33">
        <f>L533+L537+L542+L546+L544</f>
        <v>-682.20000000000073</v>
      </c>
      <c r="M532" s="33">
        <f>M533+M537+M542+M546+M544</f>
        <v>71587.666999999987</v>
      </c>
    </row>
    <row r="533" spans="1:13" s="156" customFormat="1" ht="37.5" customHeight="1" x14ac:dyDescent="0.35">
      <c r="A533" s="18"/>
      <c r="B533" s="31" t="s">
        <v>49</v>
      </c>
      <c r="C533" s="32" t="s">
        <v>491</v>
      </c>
      <c r="D533" s="17" t="s">
        <v>226</v>
      </c>
      <c r="E533" s="17" t="s">
        <v>81</v>
      </c>
      <c r="F533" s="659" t="s">
        <v>41</v>
      </c>
      <c r="G533" s="660" t="s">
        <v>32</v>
      </c>
      <c r="H533" s="660" t="s">
        <v>39</v>
      </c>
      <c r="I533" s="661" t="s">
        <v>50</v>
      </c>
      <c r="J533" s="17"/>
      <c r="K533" s="33">
        <f>K534+K535+K536</f>
        <v>11700.627999999999</v>
      </c>
      <c r="L533" s="33">
        <f>L534+L535+L536</f>
        <v>0</v>
      </c>
      <c r="M533" s="33">
        <f>M534+M535+M536</f>
        <v>11700.627999999999</v>
      </c>
    </row>
    <row r="534" spans="1:13" s="156" customFormat="1" ht="112.5" customHeight="1" x14ac:dyDescent="0.35">
      <c r="A534" s="18"/>
      <c r="B534" s="31" t="s">
        <v>51</v>
      </c>
      <c r="C534" s="32" t="s">
        <v>491</v>
      </c>
      <c r="D534" s="17" t="s">
        <v>226</v>
      </c>
      <c r="E534" s="17" t="s">
        <v>81</v>
      </c>
      <c r="F534" s="659" t="s">
        <v>41</v>
      </c>
      <c r="G534" s="660" t="s">
        <v>32</v>
      </c>
      <c r="H534" s="660" t="s">
        <v>39</v>
      </c>
      <c r="I534" s="661" t="s">
        <v>50</v>
      </c>
      <c r="J534" s="17" t="s">
        <v>52</v>
      </c>
      <c r="K534" s="33">
        <f>9369.4+1541.8</f>
        <v>10911.199999999999</v>
      </c>
      <c r="L534" s="33">
        <f>M534-K534</f>
        <v>0</v>
      </c>
      <c r="M534" s="33">
        <f>9369.4+1541.8</f>
        <v>10911.199999999999</v>
      </c>
    </row>
    <row r="535" spans="1:13" s="156" customFormat="1" ht="56.25" customHeight="1" x14ac:dyDescent="0.35">
      <c r="A535" s="18"/>
      <c r="B535" s="31" t="s">
        <v>57</v>
      </c>
      <c r="C535" s="32" t="s">
        <v>491</v>
      </c>
      <c r="D535" s="17" t="s">
        <v>226</v>
      </c>
      <c r="E535" s="17" t="s">
        <v>81</v>
      </c>
      <c r="F535" s="659" t="s">
        <v>41</v>
      </c>
      <c r="G535" s="660" t="s">
        <v>32</v>
      </c>
      <c r="H535" s="660" t="s">
        <v>39</v>
      </c>
      <c r="I535" s="661" t="s">
        <v>50</v>
      </c>
      <c r="J535" s="17" t="s">
        <v>58</v>
      </c>
      <c r="K535" s="33">
        <f>767.7+4.728</f>
        <v>772.428</v>
      </c>
      <c r="L535" s="33">
        <f>M535-K535</f>
        <v>0</v>
      </c>
      <c r="M535" s="33">
        <f>767.7+4.728</f>
        <v>772.428</v>
      </c>
    </row>
    <row r="536" spans="1:13" s="156" customFormat="1" ht="18.75" customHeight="1" x14ac:dyDescent="0.35">
      <c r="A536" s="18"/>
      <c r="B536" s="31" t="s">
        <v>59</v>
      </c>
      <c r="C536" s="32" t="s">
        <v>491</v>
      </c>
      <c r="D536" s="17" t="s">
        <v>226</v>
      </c>
      <c r="E536" s="17" t="s">
        <v>81</v>
      </c>
      <c r="F536" s="659" t="s">
        <v>41</v>
      </c>
      <c r="G536" s="660" t="s">
        <v>32</v>
      </c>
      <c r="H536" s="660" t="s">
        <v>39</v>
      </c>
      <c r="I536" s="661" t="s">
        <v>50</v>
      </c>
      <c r="J536" s="17" t="s">
        <v>60</v>
      </c>
      <c r="K536" s="33">
        <v>17</v>
      </c>
      <c r="L536" s="33">
        <f>M536-K536</f>
        <v>0</v>
      </c>
      <c r="M536" s="33">
        <v>17</v>
      </c>
    </row>
    <row r="537" spans="1:13" s="156" customFormat="1" ht="35.25" customHeight="1" x14ac:dyDescent="0.35">
      <c r="A537" s="18"/>
      <c r="B537" s="34" t="s">
        <v>540</v>
      </c>
      <c r="C537" s="32" t="s">
        <v>491</v>
      </c>
      <c r="D537" s="17" t="s">
        <v>226</v>
      </c>
      <c r="E537" s="17" t="s">
        <v>81</v>
      </c>
      <c r="F537" s="659" t="s">
        <v>41</v>
      </c>
      <c r="G537" s="660" t="s">
        <v>32</v>
      </c>
      <c r="H537" s="660" t="s">
        <v>39</v>
      </c>
      <c r="I537" s="661" t="s">
        <v>93</v>
      </c>
      <c r="J537" s="17"/>
      <c r="K537" s="33">
        <f>K538+K539+K541+K540</f>
        <v>53818.438999999998</v>
      </c>
      <c r="L537" s="33">
        <f>L538+L539+L541+L540</f>
        <v>-682.20000000000073</v>
      </c>
      <c r="M537" s="33">
        <f>M538+M539+M541+M540</f>
        <v>53136.238999999994</v>
      </c>
    </row>
    <row r="538" spans="1:13" s="156" customFormat="1" ht="112.5" customHeight="1" x14ac:dyDescent="0.35">
      <c r="A538" s="18"/>
      <c r="B538" s="31" t="s">
        <v>51</v>
      </c>
      <c r="C538" s="32" t="s">
        <v>491</v>
      </c>
      <c r="D538" s="17" t="s">
        <v>226</v>
      </c>
      <c r="E538" s="17" t="s">
        <v>81</v>
      </c>
      <c r="F538" s="659" t="s">
        <v>41</v>
      </c>
      <c r="G538" s="660" t="s">
        <v>32</v>
      </c>
      <c r="H538" s="660" t="s">
        <v>39</v>
      </c>
      <c r="I538" s="661" t="s">
        <v>93</v>
      </c>
      <c r="J538" s="17" t="s">
        <v>52</v>
      </c>
      <c r="K538" s="33">
        <f>27291.4+3965.9+29.9+162.6</f>
        <v>31449.800000000003</v>
      </c>
      <c r="L538" s="33">
        <f>M538-K538</f>
        <v>-682.20000000000073</v>
      </c>
      <c r="M538" s="33">
        <f>27291.4+3965.9+29.9+162.6-682.2</f>
        <v>30767.600000000002</v>
      </c>
    </row>
    <row r="539" spans="1:13" s="156" customFormat="1" ht="56.25" customHeight="1" x14ac:dyDescent="0.35">
      <c r="A539" s="18"/>
      <c r="B539" s="31" t="s">
        <v>57</v>
      </c>
      <c r="C539" s="32" t="s">
        <v>491</v>
      </c>
      <c r="D539" s="17" t="s">
        <v>226</v>
      </c>
      <c r="E539" s="17" t="s">
        <v>81</v>
      </c>
      <c r="F539" s="659" t="s">
        <v>41</v>
      </c>
      <c r="G539" s="660" t="s">
        <v>32</v>
      </c>
      <c r="H539" s="660" t="s">
        <v>39</v>
      </c>
      <c r="I539" s="661" t="s">
        <v>93</v>
      </c>
      <c r="J539" s="17" t="s">
        <v>58</v>
      </c>
      <c r="K539" s="33">
        <f>3043.9+19.439</f>
        <v>3063.3389999999999</v>
      </c>
      <c r="L539" s="33">
        <f>M539-K539</f>
        <v>0</v>
      </c>
      <c r="M539" s="33">
        <f>3043.9+19.439</f>
        <v>3063.3389999999999</v>
      </c>
    </row>
    <row r="540" spans="1:13" s="156" customFormat="1" ht="56.25" customHeight="1" x14ac:dyDescent="0.35">
      <c r="A540" s="18"/>
      <c r="B540" s="31" t="s">
        <v>78</v>
      </c>
      <c r="C540" s="32" t="s">
        <v>491</v>
      </c>
      <c r="D540" s="17" t="s">
        <v>226</v>
      </c>
      <c r="E540" s="17" t="s">
        <v>81</v>
      </c>
      <c r="F540" s="659" t="s">
        <v>41</v>
      </c>
      <c r="G540" s="660" t="s">
        <v>32</v>
      </c>
      <c r="H540" s="660" t="s">
        <v>39</v>
      </c>
      <c r="I540" s="661" t="s">
        <v>93</v>
      </c>
      <c r="J540" s="17" t="s">
        <v>79</v>
      </c>
      <c r="K540" s="33">
        <f>18895.6+403.5</f>
        <v>19299.099999999999</v>
      </c>
      <c r="L540" s="33">
        <f>M540-K540</f>
        <v>0</v>
      </c>
      <c r="M540" s="33">
        <f>18895.6+403.5</f>
        <v>19299.099999999999</v>
      </c>
    </row>
    <row r="541" spans="1:13" s="156" customFormat="1" ht="18.75" customHeight="1" x14ac:dyDescent="0.35">
      <c r="A541" s="18"/>
      <c r="B541" s="31" t="s">
        <v>59</v>
      </c>
      <c r="C541" s="32" t="s">
        <v>491</v>
      </c>
      <c r="D541" s="17" t="s">
        <v>226</v>
      </c>
      <c r="E541" s="17" t="s">
        <v>81</v>
      </c>
      <c r="F541" s="659" t="s">
        <v>41</v>
      </c>
      <c r="G541" s="660" t="s">
        <v>32</v>
      </c>
      <c r="H541" s="660" t="s">
        <v>39</v>
      </c>
      <c r="I541" s="661" t="s">
        <v>93</v>
      </c>
      <c r="J541" s="17" t="s">
        <v>60</v>
      </c>
      <c r="K541" s="33">
        <v>6.2</v>
      </c>
      <c r="L541" s="33">
        <f>M541-K541</f>
        <v>0</v>
      </c>
      <c r="M541" s="33">
        <v>6.2</v>
      </c>
    </row>
    <row r="542" spans="1:13" s="156" customFormat="1" ht="18.75" customHeight="1" x14ac:dyDescent="0.35">
      <c r="A542" s="18"/>
      <c r="B542" s="31" t="s">
        <v>541</v>
      </c>
      <c r="C542" s="32" t="s">
        <v>491</v>
      </c>
      <c r="D542" s="17" t="s">
        <v>226</v>
      </c>
      <c r="E542" s="17" t="s">
        <v>81</v>
      </c>
      <c r="F542" s="659" t="s">
        <v>41</v>
      </c>
      <c r="G542" s="660" t="s">
        <v>32</v>
      </c>
      <c r="H542" s="660" t="s">
        <v>39</v>
      </c>
      <c r="I542" s="661" t="s">
        <v>399</v>
      </c>
      <c r="J542" s="17"/>
      <c r="K542" s="33">
        <f>K543</f>
        <v>550.9</v>
      </c>
      <c r="L542" s="33">
        <f>L543</f>
        <v>0</v>
      </c>
      <c r="M542" s="33">
        <f>M543</f>
        <v>550.9</v>
      </c>
    </row>
    <row r="543" spans="1:13" s="156" customFormat="1" ht="56.25" customHeight="1" x14ac:dyDescent="0.35">
      <c r="A543" s="18"/>
      <c r="B543" s="31" t="s">
        <v>57</v>
      </c>
      <c r="C543" s="32" t="s">
        <v>491</v>
      </c>
      <c r="D543" s="17" t="s">
        <v>226</v>
      </c>
      <c r="E543" s="17" t="s">
        <v>81</v>
      </c>
      <c r="F543" s="659" t="s">
        <v>41</v>
      </c>
      <c r="G543" s="660" t="s">
        <v>32</v>
      </c>
      <c r="H543" s="660" t="s">
        <v>39</v>
      </c>
      <c r="I543" s="661" t="s">
        <v>399</v>
      </c>
      <c r="J543" s="17" t="s">
        <v>58</v>
      </c>
      <c r="K543" s="33">
        <v>550.9</v>
      </c>
      <c r="L543" s="33">
        <f>M543-K543</f>
        <v>0</v>
      </c>
      <c r="M543" s="33">
        <v>550.9</v>
      </c>
    </row>
    <row r="544" spans="1:13" s="156" customFormat="1" ht="34.5" customHeight="1" x14ac:dyDescent="0.35">
      <c r="A544" s="18"/>
      <c r="B544" s="31" t="s">
        <v>210</v>
      </c>
      <c r="C544" s="32" t="s">
        <v>491</v>
      </c>
      <c r="D544" s="17" t="s">
        <v>226</v>
      </c>
      <c r="E544" s="17" t="s">
        <v>81</v>
      </c>
      <c r="F544" s="659" t="s">
        <v>41</v>
      </c>
      <c r="G544" s="660" t="s">
        <v>32</v>
      </c>
      <c r="H544" s="660" t="s">
        <v>39</v>
      </c>
      <c r="I544" s="661" t="s">
        <v>276</v>
      </c>
      <c r="J544" s="17"/>
      <c r="K544" s="33">
        <f>K545</f>
        <v>10</v>
      </c>
      <c r="L544" s="33">
        <f>L545</f>
        <v>0</v>
      </c>
      <c r="M544" s="33">
        <f>M545</f>
        <v>10</v>
      </c>
    </row>
    <row r="545" spans="1:13" s="156" customFormat="1" ht="57" customHeight="1" x14ac:dyDescent="0.35">
      <c r="A545" s="18"/>
      <c r="B545" s="31" t="s">
        <v>57</v>
      </c>
      <c r="C545" s="32" t="s">
        <v>491</v>
      </c>
      <c r="D545" s="17" t="s">
        <v>226</v>
      </c>
      <c r="E545" s="17" t="s">
        <v>81</v>
      </c>
      <c r="F545" s="659" t="s">
        <v>41</v>
      </c>
      <c r="G545" s="660" t="s">
        <v>32</v>
      </c>
      <c r="H545" s="660" t="s">
        <v>39</v>
      </c>
      <c r="I545" s="661" t="s">
        <v>276</v>
      </c>
      <c r="J545" s="17" t="s">
        <v>58</v>
      </c>
      <c r="K545" s="33">
        <v>10</v>
      </c>
      <c r="L545" s="33">
        <f>M545-K545</f>
        <v>0</v>
      </c>
      <c r="M545" s="33">
        <v>10</v>
      </c>
    </row>
    <row r="546" spans="1:13" s="156" customFormat="1" ht="111" customHeight="1" x14ac:dyDescent="0.35">
      <c r="A546" s="18"/>
      <c r="B546" s="31" t="s">
        <v>354</v>
      </c>
      <c r="C546" s="32" t="s">
        <v>491</v>
      </c>
      <c r="D546" s="17" t="s">
        <v>226</v>
      </c>
      <c r="E546" s="17" t="s">
        <v>81</v>
      </c>
      <c r="F546" s="659" t="s">
        <v>41</v>
      </c>
      <c r="G546" s="660" t="s">
        <v>32</v>
      </c>
      <c r="H546" s="660" t="s">
        <v>39</v>
      </c>
      <c r="I546" s="661" t="s">
        <v>272</v>
      </c>
      <c r="J546" s="17"/>
      <c r="K546" s="33">
        <f>K547</f>
        <v>6189.9</v>
      </c>
      <c r="L546" s="33">
        <f>L547</f>
        <v>0</v>
      </c>
      <c r="M546" s="33">
        <f>M547</f>
        <v>6189.9</v>
      </c>
    </row>
    <row r="547" spans="1:13" s="156" customFormat="1" ht="112.5" customHeight="1" x14ac:dyDescent="0.35">
      <c r="A547" s="18"/>
      <c r="B547" s="31" t="s">
        <v>51</v>
      </c>
      <c r="C547" s="32" t="s">
        <v>491</v>
      </c>
      <c r="D547" s="17" t="s">
        <v>226</v>
      </c>
      <c r="E547" s="17" t="s">
        <v>81</v>
      </c>
      <c r="F547" s="659" t="s">
        <v>41</v>
      </c>
      <c r="G547" s="660" t="s">
        <v>32</v>
      </c>
      <c r="H547" s="660" t="s">
        <v>39</v>
      </c>
      <c r="I547" s="661" t="s">
        <v>272</v>
      </c>
      <c r="J547" s="17" t="s">
        <v>52</v>
      </c>
      <c r="K547" s="33">
        <v>6189.9</v>
      </c>
      <c r="L547" s="33">
        <f>M547-K547</f>
        <v>0</v>
      </c>
      <c r="M547" s="33">
        <v>6189.9</v>
      </c>
    </row>
    <row r="548" spans="1:13" s="156" customFormat="1" ht="18.75" customHeight="1" x14ac:dyDescent="0.35">
      <c r="A548" s="18"/>
      <c r="B548" s="36" t="s">
        <v>121</v>
      </c>
      <c r="C548" s="32" t="s">
        <v>491</v>
      </c>
      <c r="D548" s="17" t="s">
        <v>106</v>
      </c>
      <c r="E548" s="17"/>
      <c r="F548" s="659"/>
      <c r="G548" s="660"/>
      <c r="H548" s="660"/>
      <c r="I548" s="661"/>
      <c r="J548" s="17"/>
      <c r="K548" s="33">
        <f t="shared" ref="K548:M549" si="96">K549</f>
        <v>5452.5</v>
      </c>
      <c r="L548" s="33">
        <f t="shared" si="96"/>
        <v>0</v>
      </c>
      <c r="M548" s="33">
        <f t="shared" si="96"/>
        <v>5452.5</v>
      </c>
    </row>
    <row r="549" spans="1:13" s="156" customFormat="1" ht="18.75" customHeight="1" x14ac:dyDescent="0.35">
      <c r="A549" s="18"/>
      <c r="B549" s="36" t="s">
        <v>195</v>
      </c>
      <c r="C549" s="32" t="s">
        <v>491</v>
      </c>
      <c r="D549" s="17" t="s">
        <v>106</v>
      </c>
      <c r="E549" s="17" t="s">
        <v>54</v>
      </c>
      <c r="F549" s="659"/>
      <c r="G549" s="660"/>
      <c r="H549" s="660"/>
      <c r="I549" s="661"/>
      <c r="J549" s="17"/>
      <c r="K549" s="33">
        <f t="shared" si="96"/>
        <v>5452.5</v>
      </c>
      <c r="L549" s="33">
        <f t="shared" si="96"/>
        <v>0</v>
      </c>
      <c r="M549" s="33">
        <f t="shared" si="96"/>
        <v>5452.5</v>
      </c>
    </row>
    <row r="550" spans="1:13" s="156" customFormat="1" ht="56.25" customHeight="1" x14ac:dyDescent="0.35">
      <c r="A550" s="18"/>
      <c r="B550" s="31" t="s">
        <v>207</v>
      </c>
      <c r="C550" s="32" t="s">
        <v>491</v>
      </c>
      <c r="D550" s="17" t="s">
        <v>106</v>
      </c>
      <c r="E550" s="17" t="s">
        <v>54</v>
      </c>
      <c r="F550" s="659" t="s">
        <v>41</v>
      </c>
      <c r="G550" s="660" t="s">
        <v>44</v>
      </c>
      <c r="H550" s="660" t="s">
        <v>45</v>
      </c>
      <c r="I550" s="661" t="s">
        <v>46</v>
      </c>
      <c r="J550" s="17"/>
      <c r="K550" s="33">
        <f t="shared" ref="K550:M552" si="97">K551</f>
        <v>5452.5</v>
      </c>
      <c r="L550" s="33">
        <f t="shared" si="97"/>
        <v>0</v>
      </c>
      <c r="M550" s="33">
        <f t="shared" si="97"/>
        <v>5452.5</v>
      </c>
    </row>
    <row r="551" spans="1:13" s="156" customFormat="1" ht="37.5" customHeight="1" x14ac:dyDescent="0.35">
      <c r="A551" s="18"/>
      <c r="B551" s="31" t="s">
        <v>208</v>
      </c>
      <c r="C551" s="32" t="s">
        <v>491</v>
      </c>
      <c r="D551" s="17" t="s">
        <v>106</v>
      </c>
      <c r="E551" s="17" t="s">
        <v>54</v>
      </c>
      <c r="F551" s="659" t="s">
        <v>41</v>
      </c>
      <c r="G551" s="660" t="s">
        <v>47</v>
      </c>
      <c r="H551" s="660" t="s">
        <v>45</v>
      </c>
      <c r="I551" s="661" t="s">
        <v>46</v>
      </c>
      <c r="J551" s="17"/>
      <c r="K551" s="33">
        <f t="shared" si="97"/>
        <v>5452.5</v>
      </c>
      <c r="L551" s="33">
        <f t="shared" si="97"/>
        <v>0</v>
      </c>
      <c r="M551" s="33">
        <f t="shared" si="97"/>
        <v>5452.5</v>
      </c>
    </row>
    <row r="552" spans="1:13" s="156" customFormat="1" ht="37.5" customHeight="1" x14ac:dyDescent="0.35">
      <c r="A552" s="18"/>
      <c r="B552" s="31" t="s">
        <v>269</v>
      </c>
      <c r="C552" s="32" t="s">
        <v>491</v>
      </c>
      <c r="D552" s="17" t="s">
        <v>106</v>
      </c>
      <c r="E552" s="17" t="s">
        <v>54</v>
      </c>
      <c r="F552" s="659" t="s">
        <v>41</v>
      </c>
      <c r="G552" s="660" t="s">
        <v>47</v>
      </c>
      <c r="H552" s="660" t="s">
        <v>39</v>
      </c>
      <c r="I552" s="661" t="s">
        <v>46</v>
      </c>
      <c r="J552" s="17"/>
      <c r="K552" s="33">
        <f t="shared" si="97"/>
        <v>5452.5</v>
      </c>
      <c r="L552" s="33">
        <f t="shared" si="97"/>
        <v>0</v>
      </c>
      <c r="M552" s="33">
        <f t="shared" si="97"/>
        <v>5452.5</v>
      </c>
    </row>
    <row r="553" spans="1:13" s="156" customFormat="1" ht="127.2" customHeight="1" x14ac:dyDescent="0.35">
      <c r="A553" s="18"/>
      <c r="B553" s="31" t="s">
        <v>285</v>
      </c>
      <c r="C553" s="32" t="s">
        <v>491</v>
      </c>
      <c r="D553" s="17" t="s">
        <v>106</v>
      </c>
      <c r="E553" s="17" t="s">
        <v>54</v>
      </c>
      <c r="F553" s="659" t="s">
        <v>41</v>
      </c>
      <c r="G553" s="660" t="s">
        <v>47</v>
      </c>
      <c r="H553" s="660" t="s">
        <v>39</v>
      </c>
      <c r="I553" s="661" t="s">
        <v>286</v>
      </c>
      <c r="J553" s="17"/>
      <c r="K553" s="33">
        <f>K554+K555</f>
        <v>5452.5</v>
      </c>
      <c r="L553" s="33">
        <f>L554+L555</f>
        <v>0</v>
      </c>
      <c r="M553" s="33">
        <f>M554+M555</f>
        <v>5452.5</v>
      </c>
    </row>
    <row r="554" spans="1:13" s="156" customFormat="1" ht="56.25" customHeight="1" x14ac:dyDescent="0.35">
      <c r="A554" s="18"/>
      <c r="B554" s="31" t="s">
        <v>57</v>
      </c>
      <c r="C554" s="32" t="s">
        <v>491</v>
      </c>
      <c r="D554" s="17" t="s">
        <v>106</v>
      </c>
      <c r="E554" s="17" t="s">
        <v>54</v>
      </c>
      <c r="F554" s="659" t="s">
        <v>41</v>
      </c>
      <c r="G554" s="660" t="s">
        <v>47</v>
      </c>
      <c r="H554" s="660" t="s">
        <v>39</v>
      </c>
      <c r="I554" s="661" t="s">
        <v>286</v>
      </c>
      <c r="J554" s="17" t="s">
        <v>58</v>
      </c>
      <c r="K554" s="33">
        <v>80.5</v>
      </c>
      <c r="L554" s="33">
        <f>M554-K554</f>
        <v>0</v>
      </c>
      <c r="M554" s="33">
        <v>80.5</v>
      </c>
    </row>
    <row r="555" spans="1:13" s="156" customFormat="1" ht="37.5" customHeight="1" x14ac:dyDescent="0.35">
      <c r="A555" s="18"/>
      <c r="B555" s="35" t="s">
        <v>122</v>
      </c>
      <c r="C555" s="32" t="s">
        <v>491</v>
      </c>
      <c r="D555" s="17" t="s">
        <v>106</v>
      </c>
      <c r="E555" s="17" t="s">
        <v>54</v>
      </c>
      <c r="F555" s="659" t="s">
        <v>41</v>
      </c>
      <c r="G555" s="660" t="s">
        <v>47</v>
      </c>
      <c r="H555" s="660" t="s">
        <v>39</v>
      </c>
      <c r="I555" s="661" t="s">
        <v>286</v>
      </c>
      <c r="J555" s="17" t="s">
        <v>123</v>
      </c>
      <c r="K555" s="33">
        <v>5372</v>
      </c>
      <c r="L555" s="33">
        <f>M555-K555</f>
        <v>0</v>
      </c>
      <c r="M555" s="33">
        <v>5372</v>
      </c>
    </row>
    <row r="556" spans="1:13" s="173" customFormat="1" ht="18.75" customHeight="1" x14ac:dyDescent="0.35">
      <c r="A556" s="168"/>
      <c r="B556" s="140"/>
      <c r="C556" s="202"/>
      <c r="D556" s="203"/>
      <c r="E556" s="203"/>
      <c r="F556" s="204"/>
      <c r="G556" s="205"/>
      <c r="H556" s="205"/>
      <c r="I556" s="206"/>
      <c r="J556" s="203"/>
      <c r="K556" s="172"/>
      <c r="L556" s="172"/>
      <c r="M556" s="172"/>
    </row>
    <row r="557" spans="1:13" s="152" customFormat="1" ht="56.25" customHeight="1" x14ac:dyDescent="0.3">
      <c r="A557" s="151">
        <v>6</v>
      </c>
      <c r="B557" s="189" t="s">
        <v>9</v>
      </c>
      <c r="C557" s="26" t="s">
        <v>318</v>
      </c>
      <c r="D557" s="27"/>
      <c r="E557" s="27"/>
      <c r="F557" s="28"/>
      <c r="G557" s="29"/>
      <c r="H557" s="29"/>
      <c r="I557" s="30"/>
      <c r="J557" s="27"/>
      <c r="K557" s="47">
        <f>K568+K591+K558</f>
        <v>102996.59999999999</v>
      </c>
      <c r="L557" s="47">
        <f>L568+L591+L558</f>
        <v>1452.200000000003</v>
      </c>
      <c r="M557" s="47">
        <f>M568+M591+M558</f>
        <v>104448.8</v>
      </c>
    </row>
    <row r="558" spans="1:13" s="152" customFormat="1" ht="24.75" customHeight="1" x14ac:dyDescent="0.35">
      <c r="A558" s="151"/>
      <c r="B558" s="31" t="s">
        <v>38</v>
      </c>
      <c r="C558" s="32" t="s">
        <v>318</v>
      </c>
      <c r="D558" s="42" t="s">
        <v>39</v>
      </c>
      <c r="E558" s="27"/>
      <c r="F558" s="28"/>
      <c r="G558" s="29"/>
      <c r="H558" s="29"/>
      <c r="I558" s="30"/>
      <c r="J558" s="27"/>
      <c r="K558" s="275">
        <f t="shared" ref="K558:M566" si="98">K559</f>
        <v>53.3</v>
      </c>
      <c r="L558" s="275">
        <f t="shared" si="98"/>
        <v>460.3</v>
      </c>
      <c r="M558" s="275">
        <f t="shared" si="98"/>
        <v>513.6</v>
      </c>
    </row>
    <row r="559" spans="1:13" s="152" customFormat="1" ht="20.25" customHeight="1" x14ac:dyDescent="0.35">
      <c r="A559" s="151"/>
      <c r="B559" s="31" t="s">
        <v>72</v>
      </c>
      <c r="C559" s="32" t="s">
        <v>318</v>
      </c>
      <c r="D559" s="42" t="s">
        <v>39</v>
      </c>
      <c r="E559" s="42" t="s">
        <v>73</v>
      </c>
      <c r="F559" s="28"/>
      <c r="G559" s="29"/>
      <c r="H559" s="29"/>
      <c r="I559" s="30"/>
      <c r="J559" s="27"/>
      <c r="K559" s="275">
        <f>K561</f>
        <v>53.3</v>
      </c>
      <c r="L559" s="275">
        <f>L561</f>
        <v>460.3</v>
      </c>
      <c r="M559" s="275">
        <f>M561</f>
        <v>513.6</v>
      </c>
    </row>
    <row r="560" spans="1:13" s="152" customFormat="1" ht="56.25" customHeight="1" x14ac:dyDescent="0.35">
      <c r="A560" s="151"/>
      <c r="B560" s="37" t="s">
        <v>215</v>
      </c>
      <c r="C560" s="32" t="s">
        <v>318</v>
      </c>
      <c r="D560" s="17" t="s">
        <v>39</v>
      </c>
      <c r="E560" s="17" t="s">
        <v>73</v>
      </c>
      <c r="F560" s="659" t="s">
        <v>65</v>
      </c>
      <c r="G560" s="660" t="s">
        <v>44</v>
      </c>
      <c r="H560" s="660" t="s">
        <v>45</v>
      </c>
      <c r="I560" s="661" t="s">
        <v>46</v>
      </c>
      <c r="J560" s="27"/>
      <c r="K560" s="275">
        <f t="shared" ref="K560:M560" si="99">K561</f>
        <v>53.3</v>
      </c>
      <c r="L560" s="275">
        <f t="shared" si="99"/>
        <v>460.3</v>
      </c>
      <c r="M560" s="275">
        <f t="shared" si="99"/>
        <v>513.6</v>
      </c>
    </row>
    <row r="561" spans="1:13" s="152" customFormat="1" ht="56.25" customHeight="1" x14ac:dyDescent="0.35">
      <c r="A561" s="151"/>
      <c r="B561" s="31" t="s">
        <v>218</v>
      </c>
      <c r="C561" s="32" t="s">
        <v>318</v>
      </c>
      <c r="D561" s="42" t="s">
        <v>39</v>
      </c>
      <c r="E561" s="42" t="s">
        <v>73</v>
      </c>
      <c r="F561" s="272" t="s">
        <v>65</v>
      </c>
      <c r="G561" s="273" t="s">
        <v>32</v>
      </c>
      <c r="H561" s="273" t="s">
        <v>45</v>
      </c>
      <c r="I561" s="274" t="s">
        <v>46</v>
      </c>
      <c r="J561" s="27"/>
      <c r="K561" s="275">
        <f>K565</f>
        <v>53.3</v>
      </c>
      <c r="L561" s="275">
        <f>L565+L562</f>
        <v>460.3</v>
      </c>
      <c r="M561" s="275">
        <f>M565+M562</f>
        <v>513.6</v>
      </c>
    </row>
    <row r="562" spans="1:13" s="152" customFormat="1" ht="36" x14ac:dyDescent="0.35">
      <c r="A562" s="151"/>
      <c r="B562" s="31" t="s">
        <v>284</v>
      </c>
      <c r="C562" s="32" t="s">
        <v>318</v>
      </c>
      <c r="D562" s="42" t="s">
        <v>39</v>
      </c>
      <c r="E562" s="42" t="s">
        <v>73</v>
      </c>
      <c r="F562" s="272" t="s">
        <v>65</v>
      </c>
      <c r="G562" s="273" t="s">
        <v>32</v>
      </c>
      <c r="H562" s="273" t="s">
        <v>39</v>
      </c>
      <c r="I562" s="274" t="s">
        <v>46</v>
      </c>
      <c r="J562" s="27"/>
      <c r="K562" s="275"/>
      <c r="L562" s="275">
        <f>L563</f>
        <v>460.3</v>
      </c>
      <c r="M562" s="275">
        <f>M563</f>
        <v>460.3</v>
      </c>
    </row>
    <row r="563" spans="1:13" s="152" customFormat="1" ht="56.25" customHeight="1" x14ac:dyDescent="0.35">
      <c r="A563" s="151"/>
      <c r="B563" s="31" t="s">
        <v>398</v>
      </c>
      <c r="C563" s="32" t="s">
        <v>318</v>
      </c>
      <c r="D563" s="42" t="s">
        <v>39</v>
      </c>
      <c r="E563" s="42" t="s">
        <v>73</v>
      </c>
      <c r="F563" s="272" t="s">
        <v>65</v>
      </c>
      <c r="G563" s="273" t="s">
        <v>32</v>
      </c>
      <c r="H563" s="273" t="s">
        <v>39</v>
      </c>
      <c r="I563" s="274" t="s">
        <v>397</v>
      </c>
      <c r="J563" s="27"/>
      <c r="K563" s="275"/>
      <c r="L563" s="275">
        <f>L564</f>
        <v>460.3</v>
      </c>
      <c r="M563" s="275">
        <f>M564</f>
        <v>460.3</v>
      </c>
    </row>
    <row r="564" spans="1:13" s="152" customFormat="1" ht="56.25" customHeight="1" x14ac:dyDescent="0.35">
      <c r="A564" s="151"/>
      <c r="B564" s="31" t="s">
        <v>57</v>
      </c>
      <c r="C564" s="32" t="s">
        <v>318</v>
      </c>
      <c r="D564" s="42" t="s">
        <v>39</v>
      </c>
      <c r="E564" s="42" t="s">
        <v>73</v>
      </c>
      <c r="F564" s="272" t="s">
        <v>65</v>
      </c>
      <c r="G564" s="273" t="s">
        <v>32</v>
      </c>
      <c r="H564" s="273" t="s">
        <v>39</v>
      </c>
      <c r="I564" s="274" t="s">
        <v>397</v>
      </c>
      <c r="J564" s="42" t="s">
        <v>58</v>
      </c>
      <c r="K564" s="275"/>
      <c r="L564" s="33">
        <f>M564-K564</f>
        <v>460.3</v>
      </c>
      <c r="M564" s="275">
        <v>460.3</v>
      </c>
    </row>
    <row r="565" spans="1:13" s="152" customFormat="1" ht="37.5" customHeight="1" x14ac:dyDescent="0.35">
      <c r="A565" s="151"/>
      <c r="B565" s="31" t="s">
        <v>360</v>
      </c>
      <c r="C565" s="32" t="s">
        <v>318</v>
      </c>
      <c r="D565" s="42" t="s">
        <v>39</v>
      </c>
      <c r="E565" s="42" t="s">
        <v>73</v>
      </c>
      <c r="F565" s="272" t="s">
        <v>65</v>
      </c>
      <c r="G565" s="273" t="s">
        <v>32</v>
      </c>
      <c r="H565" s="273" t="s">
        <v>41</v>
      </c>
      <c r="I565" s="274" t="s">
        <v>46</v>
      </c>
      <c r="J565" s="27"/>
      <c r="K565" s="275">
        <f t="shared" si="98"/>
        <v>53.3</v>
      </c>
      <c r="L565" s="275">
        <f t="shared" si="98"/>
        <v>0</v>
      </c>
      <c r="M565" s="275">
        <f t="shared" si="98"/>
        <v>53.3</v>
      </c>
    </row>
    <row r="566" spans="1:13" s="152" customFormat="1" ht="54.75" customHeight="1" x14ac:dyDescent="0.35">
      <c r="A566" s="151"/>
      <c r="B566" s="31" t="s">
        <v>361</v>
      </c>
      <c r="C566" s="32" t="s">
        <v>318</v>
      </c>
      <c r="D566" s="42" t="s">
        <v>39</v>
      </c>
      <c r="E566" s="42" t="s">
        <v>73</v>
      </c>
      <c r="F566" s="272" t="s">
        <v>65</v>
      </c>
      <c r="G566" s="273" t="s">
        <v>32</v>
      </c>
      <c r="H566" s="273" t="s">
        <v>41</v>
      </c>
      <c r="I566" s="274" t="s">
        <v>107</v>
      </c>
      <c r="J566" s="27"/>
      <c r="K566" s="275">
        <f t="shared" si="98"/>
        <v>53.3</v>
      </c>
      <c r="L566" s="275">
        <f t="shared" si="98"/>
        <v>0</v>
      </c>
      <c r="M566" s="275">
        <f t="shared" si="98"/>
        <v>53.3</v>
      </c>
    </row>
    <row r="567" spans="1:13" s="152" customFormat="1" ht="56.25" customHeight="1" x14ac:dyDescent="0.35">
      <c r="A567" s="151"/>
      <c r="B567" s="31" t="s">
        <v>57</v>
      </c>
      <c r="C567" s="32" t="s">
        <v>318</v>
      </c>
      <c r="D567" s="42" t="s">
        <v>39</v>
      </c>
      <c r="E567" s="42" t="s">
        <v>73</v>
      </c>
      <c r="F567" s="272" t="s">
        <v>65</v>
      </c>
      <c r="G567" s="273" t="s">
        <v>32</v>
      </c>
      <c r="H567" s="273" t="s">
        <v>41</v>
      </c>
      <c r="I567" s="274" t="s">
        <v>107</v>
      </c>
      <c r="J567" s="42" t="s">
        <v>58</v>
      </c>
      <c r="K567" s="275">
        <v>53.3</v>
      </c>
      <c r="L567" s="33">
        <f>M567-K567</f>
        <v>0</v>
      </c>
      <c r="M567" s="275">
        <v>53.3</v>
      </c>
    </row>
    <row r="568" spans="1:13" s="14" customFormat="1" ht="18.75" customHeight="1" x14ac:dyDescent="0.35">
      <c r="A568" s="18"/>
      <c r="B568" s="37" t="s">
        <v>181</v>
      </c>
      <c r="C568" s="32" t="s">
        <v>318</v>
      </c>
      <c r="D568" s="17" t="s">
        <v>226</v>
      </c>
      <c r="E568" s="17"/>
      <c r="F568" s="659"/>
      <c r="G568" s="660"/>
      <c r="H568" s="660"/>
      <c r="I568" s="661"/>
      <c r="J568" s="17"/>
      <c r="K568" s="33">
        <f>K569+K585+K579</f>
        <v>59468.7</v>
      </c>
      <c r="L568" s="33">
        <f>L569+L585+L579</f>
        <v>947.10000000000286</v>
      </c>
      <c r="M568" s="33">
        <f>M569+M585+M579</f>
        <v>60415.799999999996</v>
      </c>
    </row>
    <row r="569" spans="1:13" s="152" customFormat="1" ht="18.75" customHeight="1" x14ac:dyDescent="0.35">
      <c r="A569" s="18"/>
      <c r="B569" s="37" t="s">
        <v>358</v>
      </c>
      <c r="C569" s="32" t="s">
        <v>318</v>
      </c>
      <c r="D569" s="17" t="s">
        <v>226</v>
      </c>
      <c r="E569" s="17" t="s">
        <v>65</v>
      </c>
      <c r="F569" s="659"/>
      <c r="G569" s="660"/>
      <c r="H569" s="660"/>
      <c r="I569" s="661"/>
      <c r="J569" s="17"/>
      <c r="K569" s="33">
        <f t="shared" ref="K569:M570" si="100">K570</f>
        <v>58954.7</v>
      </c>
      <c r="L569" s="33">
        <f t="shared" si="100"/>
        <v>947.10000000000286</v>
      </c>
      <c r="M569" s="33">
        <f t="shared" si="100"/>
        <v>59901.799999999996</v>
      </c>
    </row>
    <row r="570" spans="1:13" s="152" customFormat="1" ht="56.25" customHeight="1" x14ac:dyDescent="0.35">
      <c r="A570" s="18"/>
      <c r="B570" s="37" t="s">
        <v>215</v>
      </c>
      <c r="C570" s="32" t="s">
        <v>318</v>
      </c>
      <c r="D570" s="17" t="s">
        <v>226</v>
      </c>
      <c r="E570" s="17" t="s">
        <v>65</v>
      </c>
      <c r="F570" s="659" t="s">
        <v>65</v>
      </c>
      <c r="G570" s="660" t="s">
        <v>44</v>
      </c>
      <c r="H570" s="660" t="s">
        <v>45</v>
      </c>
      <c r="I570" s="661" t="s">
        <v>46</v>
      </c>
      <c r="J570" s="17"/>
      <c r="K570" s="33">
        <f t="shared" si="100"/>
        <v>58954.7</v>
      </c>
      <c r="L570" s="33">
        <f t="shared" si="100"/>
        <v>947.10000000000286</v>
      </c>
      <c r="M570" s="33">
        <f t="shared" si="100"/>
        <v>59901.799999999996</v>
      </c>
    </row>
    <row r="571" spans="1:13" s="152" customFormat="1" ht="75" customHeight="1" x14ac:dyDescent="0.35">
      <c r="A571" s="18"/>
      <c r="B571" s="37" t="s">
        <v>216</v>
      </c>
      <c r="C571" s="32" t="s">
        <v>318</v>
      </c>
      <c r="D571" s="17" t="s">
        <v>226</v>
      </c>
      <c r="E571" s="17" t="s">
        <v>65</v>
      </c>
      <c r="F571" s="659" t="s">
        <v>65</v>
      </c>
      <c r="G571" s="660" t="s">
        <v>47</v>
      </c>
      <c r="H571" s="660" t="s">
        <v>45</v>
      </c>
      <c r="I571" s="661" t="s">
        <v>46</v>
      </c>
      <c r="J571" s="17"/>
      <c r="K571" s="33">
        <f>K572</f>
        <v>58954.7</v>
      </c>
      <c r="L571" s="33">
        <f>L572</f>
        <v>947.10000000000286</v>
      </c>
      <c r="M571" s="33">
        <f>M572</f>
        <v>59901.799999999996</v>
      </c>
    </row>
    <row r="572" spans="1:13" s="152" customFormat="1" ht="37.5" customHeight="1" x14ac:dyDescent="0.35">
      <c r="A572" s="18"/>
      <c r="B572" s="37" t="s">
        <v>278</v>
      </c>
      <c r="C572" s="32" t="s">
        <v>318</v>
      </c>
      <c r="D572" s="17" t="s">
        <v>226</v>
      </c>
      <c r="E572" s="17" t="s">
        <v>65</v>
      </c>
      <c r="F572" s="659" t="s">
        <v>65</v>
      </c>
      <c r="G572" s="660" t="s">
        <v>47</v>
      </c>
      <c r="H572" s="660" t="s">
        <v>39</v>
      </c>
      <c r="I572" s="661" t="s">
        <v>46</v>
      </c>
      <c r="J572" s="17"/>
      <c r="K572" s="33">
        <f>K573+K577+K575</f>
        <v>58954.7</v>
      </c>
      <c r="L572" s="33">
        <f>L573+L577+L575</f>
        <v>947.10000000000286</v>
      </c>
      <c r="M572" s="33">
        <f>M573+M577+M575</f>
        <v>59901.799999999996</v>
      </c>
    </row>
    <row r="573" spans="1:13" s="152" customFormat="1" ht="37.5" customHeight="1" x14ac:dyDescent="0.35">
      <c r="A573" s="18"/>
      <c r="B573" s="34" t="s">
        <v>540</v>
      </c>
      <c r="C573" s="32" t="s">
        <v>318</v>
      </c>
      <c r="D573" s="17" t="s">
        <v>226</v>
      </c>
      <c r="E573" s="17" t="s">
        <v>65</v>
      </c>
      <c r="F573" s="659" t="s">
        <v>65</v>
      </c>
      <c r="G573" s="660" t="s">
        <v>47</v>
      </c>
      <c r="H573" s="660" t="s">
        <v>39</v>
      </c>
      <c r="I573" s="661" t="s">
        <v>93</v>
      </c>
      <c r="J573" s="17"/>
      <c r="K573" s="33">
        <f>K574</f>
        <v>55802.799999999996</v>
      </c>
      <c r="L573" s="33">
        <f>L574</f>
        <v>-345.69999999999709</v>
      </c>
      <c r="M573" s="33">
        <f>M574</f>
        <v>55457.1</v>
      </c>
    </row>
    <row r="574" spans="1:13" s="14" customFormat="1" ht="56.25" customHeight="1" x14ac:dyDescent="0.35">
      <c r="A574" s="18"/>
      <c r="B574" s="35" t="s">
        <v>78</v>
      </c>
      <c r="C574" s="32" t="s">
        <v>318</v>
      </c>
      <c r="D574" s="17" t="s">
        <v>226</v>
      </c>
      <c r="E574" s="17" t="s">
        <v>65</v>
      </c>
      <c r="F574" s="659" t="s">
        <v>65</v>
      </c>
      <c r="G574" s="660" t="s">
        <v>47</v>
      </c>
      <c r="H574" s="660" t="s">
        <v>39</v>
      </c>
      <c r="I574" s="661" t="s">
        <v>93</v>
      </c>
      <c r="J574" s="17" t="s">
        <v>79</v>
      </c>
      <c r="K574" s="33">
        <f>56186.1-425.8+162.1-119.6</f>
        <v>55802.799999999996</v>
      </c>
      <c r="L574" s="33">
        <f>M574-K574</f>
        <v>-345.69999999999709</v>
      </c>
      <c r="M574" s="33">
        <f>56186.1-425.8+162.1-119.6-345.7</f>
        <v>55457.1</v>
      </c>
    </row>
    <row r="575" spans="1:13" s="14" customFormat="1" ht="21" customHeight="1" x14ac:dyDescent="0.35">
      <c r="A575" s="18"/>
      <c r="B575" s="35" t="s">
        <v>541</v>
      </c>
      <c r="C575" s="32" t="s">
        <v>318</v>
      </c>
      <c r="D575" s="17" t="s">
        <v>226</v>
      </c>
      <c r="E575" s="17" t="s">
        <v>65</v>
      </c>
      <c r="F575" s="659" t="s">
        <v>65</v>
      </c>
      <c r="G575" s="660" t="s">
        <v>47</v>
      </c>
      <c r="H575" s="660" t="s">
        <v>39</v>
      </c>
      <c r="I575" s="661" t="s">
        <v>399</v>
      </c>
      <c r="J575" s="17"/>
      <c r="K575" s="33">
        <f>K576</f>
        <v>1168.5999999999999</v>
      </c>
      <c r="L575" s="33">
        <f>L576</f>
        <v>0</v>
      </c>
      <c r="M575" s="33">
        <f>M576</f>
        <v>1168.5999999999999</v>
      </c>
    </row>
    <row r="576" spans="1:13" s="14" customFormat="1" ht="56.25" customHeight="1" x14ac:dyDescent="0.35">
      <c r="A576" s="18"/>
      <c r="B576" s="35" t="s">
        <v>78</v>
      </c>
      <c r="C576" s="32" t="s">
        <v>318</v>
      </c>
      <c r="D576" s="17" t="s">
        <v>226</v>
      </c>
      <c r="E576" s="17" t="s">
        <v>65</v>
      </c>
      <c r="F576" s="659" t="s">
        <v>65</v>
      </c>
      <c r="G576" s="660" t="s">
        <v>47</v>
      </c>
      <c r="H576" s="660" t="s">
        <v>39</v>
      </c>
      <c r="I576" s="661" t="s">
        <v>399</v>
      </c>
      <c r="J576" s="17" t="s">
        <v>79</v>
      </c>
      <c r="K576" s="33">
        <v>1168.5999999999999</v>
      </c>
      <c r="L576" s="33">
        <f>M576-K576</f>
        <v>0</v>
      </c>
      <c r="M576" s="33">
        <v>1168.5999999999999</v>
      </c>
    </row>
    <row r="577" spans="1:13" s="14" customFormat="1" ht="37.5" customHeight="1" x14ac:dyDescent="0.35">
      <c r="A577" s="18"/>
      <c r="B577" s="35" t="s">
        <v>319</v>
      </c>
      <c r="C577" s="32" t="s">
        <v>318</v>
      </c>
      <c r="D577" s="17" t="s">
        <v>226</v>
      </c>
      <c r="E577" s="17" t="s">
        <v>65</v>
      </c>
      <c r="F577" s="659" t="s">
        <v>65</v>
      </c>
      <c r="G577" s="660" t="s">
        <v>47</v>
      </c>
      <c r="H577" s="660" t="s">
        <v>39</v>
      </c>
      <c r="I577" s="661" t="s">
        <v>320</v>
      </c>
      <c r="J577" s="17"/>
      <c r="K577" s="33">
        <f>K578</f>
        <v>1983.3</v>
      </c>
      <c r="L577" s="33">
        <f>L578</f>
        <v>1292.8</v>
      </c>
      <c r="M577" s="33">
        <f>M578</f>
        <v>3276.1</v>
      </c>
    </row>
    <row r="578" spans="1:13" s="14" customFormat="1" ht="56.25" customHeight="1" x14ac:dyDescent="0.35">
      <c r="A578" s="18"/>
      <c r="B578" s="35" t="s">
        <v>78</v>
      </c>
      <c r="C578" s="32" t="s">
        <v>318</v>
      </c>
      <c r="D578" s="17" t="s">
        <v>226</v>
      </c>
      <c r="E578" s="17" t="s">
        <v>65</v>
      </c>
      <c r="F578" s="659" t="s">
        <v>65</v>
      </c>
      <c r="G578" s="660" t="s">
        <v>47</v>
      </c>
      <c r="H578" s="660" t="s">
        <v>39</v>
      </c>
      <c r="I578" s="661" t="s">
        <v>320</v>
      </c>
      <c r="J578" s="17" t="s">
        <v>79</v>
      </c>
      <c r="K578" s="33">
        <v>1983.3</v>
      </c>
      <c r="L578" s="33">
        <f>M578-K578</f>
        <v>1292.8</v>
      </c>
      <c r="M578" s="33">
        <f>1983.3+947.1+345.7</f>
        <v>3276.1</v>
      </c>
    </row>
    <row r="579" spans="1:13" s="14" customFormat="1" ht="22.5" customHeight="1" x14ac:dyDescent="0.35">
      <c r="A579" s="18"/>
      <c r="B579" s="35" t="s">
        <v>551</v>
      </c>
      <c r="C579" s="32" t="s">
        <v>318</v>
      </c>
      <c r="D579" s="17" t="s">
        <v>226</v>
      </c>
      <c r="E579" s="17" t="s">
        <v>226</v>
      </c>
      <c r="F579" s="659"/>
      <c r="G579" s="660"/>
      <c r="H579" s="660"/>
      <c r="I579" s="661"/>
      <c r="J579" s="17"/>
      <c r="K579" s="33">
        <f t="shared" ref="K579:M583" si="101">K580</f>
        <v>289</v>
      </c>
      <c r="L579" s="33">
        <f t="shared" si="101"/>
        <v>0</v>
      </c>
      <c r="M579" s="33">
        <f t="shared" si="101"/>
        <v>289</v>
      </c>
    </row>
    <row r="580" spans="1:13" s="14" customFormat="1" ht="56.25" customHeight="1" x14ac:dyDescent="0.35">
      <c r="A580" s="18"/>
      <c r="B580" s="37" t="s">
        <v>215</v>
      </c>
      <c r="C580" s="32" t="s">
        <v>318</v>
      </c>
      <c r="D580" s="17" t="s">
        <v>226</v>
      </c>
      <c r="E580" s="17" t="s">
        <v>226</v>
      </c>
      <c r="F580" s="659" t="s">
        <v>65</v>
      </c>
      <c r="G580" s="660" t="s">
        <v>44</v>
      </c>
      <c r="H580" s="660" t="s">
        <v>45</v>
      </c>
      <c r="I580" s="661" t="s">
        <v>46</v>
      </c>
      <c r="J580" s="17"/>
      <c r="K580" s="33">
        <f t="shared" si="101"/>
        <v>289</v>
      </c>
      <c r="L580" s="33">
        <f t="shared" si="101"/>
        <v>0</v>
      </c>
      <c r="M580" s="33">
        <f t="shared" si="101"/>
        <v>289</v>
      </c>
    </row>
    <row r="581" spans="1:13" s="14" customFormat="1" ht="74.25" customHeight="1" x14ac:dyDescent="0.35">
      <c r="A581" s="18"/>
      <c r="B581" s="37" t="s">
        <v>216</v>
      </c>
      <c r="C581" s="32" t="s">
        <v>318</v>
      </c>
      <c r="D581" s="17" t="s">
        <v>226</v>
      </c>
      <c r="E581" s="17" t="s">
        <v>226</v>
      </c>
      <c r="F581" s="659" t="s">
        <v>65</v>
      </c>
      <c r="G581" s="660" t="s">
        <v>47</v>
      </c>
      <c r="H581" s="660" t="s">
        <v>45</v>
      </c>
      <c r="I581" s="661" t="s">
        <v>46</v>
      </c>
      <c r="J581" s="17"/>
      <c r="K581" s="33">
        <f t="shared" si="101"/>
        <v>289</v>
      </c>
      <c r="L581" s="33">
        <f t="shared" si="101"/>
        <v>0</v>
      </c>
      <c r="M581" s="33">
        <f t="shared" si="101"/>
        <v>289</v>
      </c>
    </row>
    <row r="582" spans="1:13" s="14" customFormat="1" ht="38.4" customHeight="1" x14ac:dyDescent="0.35">
      <c r="A582" s="18"/>
      <c r="B582" s="35" t="s">
        <v>283</v>
      </c>
      <c r="C582" s="32" t="s">
        <v>318</v>
      </c>
      <c r="D582" s="17" t="s">
        <v>226</v>
      </c>
      <c r="E582" s="17" t="s">
        <v>226</v>
      </c>
      <c r="F582" s="659" t="s">
        <v>65</v>
      </c>
      <c r="G582" s="660" t="s">
        <v>47</v>
      </c>
      <c r="H582" s="660" t="s">
        <v>67</v>
      </c>
      <c r="I582" s="661" t="s">
        <v>46</v>
      </c>
      <c r="J582" s="17"/>
      <c r="K582" s="33">
        <f t="shared" si="101"/>
        <v>289</v>
      </c>
      <c r="L582" s="33">
        <f t="shared" si="101"/>
        <v>0</v>
      </c>
      <c r="M582" s="33">
        <f t="shared" si="101"/>
        <v>289</v>
      </c>
    </row>
    <row r="583" spans="1:13" s="14" customFormat="1" ht="36.75" customHeight="1" x14ac:dyDescent="0.35">
      <c r="A583" s="18"/>
      <c r="B583" s="35" t="s">
        <v>553</v>
      </c>
      <c r="C583" s="32" t="s">
        <v>318</v>
      </c>
      <c r="D583" s="17" t="s">
        <v>226</v>
      </c>
      <c r="E583" s="17" t="s">
        <v>226</v>
      </c>
      <c r="F583" s="659" t="s">
        <v>65</v>
      </c>
      <c r="G583" s="660" t="s">
        <v>47</v>
      </c>
      <c r="H583" s="660" t="s">
        <v>67</v>
      </c>
      <c r="I583" s="661" t="s">
        <v>552</v>
      </c>
      <c r="J583" s="17"/>
      <c r="K583" s="33">
        <f t="shared" si="101"/>
        <v>289</v>
      </c>
      <c r="L583" s="33">
        <f t="shared" si="101"/>
        <v>0</v>
      </c>
      <c r="M583" s="33">
        <f t="shared" si="101"/>
        <v>289</v>
      </c>
    </row>
    <row r="584" spans="1:13" s="14" customFormat="1" ht="56.25" customHeight="1" x14ac:dyDescent="0.35">
      <c r="A584" s="18"/>
      <c r="B584" s="35" t="s">
        <v>78</v>
      </c>
      <c r="C584" s="32" t="s">
        <v>318</v>
      </c>
      <c r="D584" s="17" t="s">
        <v>226</v>
      </c>
      <c r="E584" s="17" t="s">
        <v>226</v>
      </c>
      <c r="F584" s="659" t="s">
        <v>65</v>
      </c>
      <c r="G584" s="660" t="s">
        <v>47</v>
      </c>
      <c r="H584" s="660" t="s">
        <v>67</v>
      </c>
      <c r="I584" s="661" t="s">
        <v>552</v>
      </c>
      <c r="J584" s="17" t="s">
        <v>79</v>
      </c>
      <c r="K584" s="33">
        <v>289</v>
      </c>
      <c r="L584" s="33">
        <f>M584-K584</f>
        <v>0</v>
      </c>
      <c r="M584" s="33">
        <v>289</v>
      </c>
    </row>
    <row r="585" spans="1:13" s="14" customFormat="1" ht="18.75" customHeight="1" x14ac:dyDescent="0.35">
      <c r="A585" s="18"/>
      <c r="B585" s="31" t="s">
        <v>188</v>
      </c>
      <c r="C585" s="32" t="s">
        <v>318</v>
      </c>
      <c r="D585" s="17" t="s">
        <v>226</v>
      </c>
      <c r="E585" s="17" t="s">
        <v>81</v>
      </c>
      <c r="F585" s="659"/>
      <c r="G585" s="660"/>
      <c r="H585" s="660"/>
      <c r="I585" s="661"/>
      <c r="J585" s="17"/>
      <c r="K585" s="33">
        <f t="shared" ref="K585:M589" si="102">K586</f>
        <v>225</v>
      </c>
      <c r="L585" s="33">
        <f t="shared" si="102"/>
        <v>0</v>
      </c>
      <c r="M585" s="33">
        <f t="shared" si="102"/>
        <v>225</v>
      </c>
    </row>
    <row r="586" spans="1:13" s="14" customFormat="1" ht="56.25" customHeight="1" x14ac:dyDescent="0.35">
      <c r="A586" s="18"/>
      <c r="B586" s="37" t="s">
        <v>215</v>
      </c>
      <c r="C586" s="32" t="s">
        <v>318</v>
      </c>
      <c r="D586" s="17" t="s">
        <v>226</v>
      </c>
      <c r="E586" s="17" t="s">
        <v>81</v>
      </c>
      <c r="F586" s="659" t="s">
        <v>65</v>
      </c>
      <c r="G586" s="660" t="s">
        <v>44</v>
      </c>
      <c r="H586" s="660" t="s">
        <v>45</v>
      </c>
      <c r="I586" s="661" t="s">
        <v>46</v>
      </c>
      <c r="J586" s="17"/>
      <c r="K586" s="33">
        <f t="shared" si="102"/>
        <v>225</v>
      </c>
      <c r="L586" s="33">
        <f t="shared" si="102"/>
        <v>0</v>
      </c>
      <c r="M586" s="33">
        <f t="shared" si="102"/>
        <v>225</v>
      </c>
    </row>
    <row r="587" spans="1:13" s="14" customFormat="1" ht="75" customHeight="1" x14ac:dyDescent="0.35">
      <c r="A587" s="18"/>
      <c r="B587" s="37" t="s">
        <v>216</v>
      </c>
      <c r="C587" s="32" t="s">
        <v>318</v>
      </c>
      <c r="D587" s="17" t="s">
        <v>226</v>
      </c>
      <c r="E587" s="17" t="s">
        <v>81</v>
      </c>
      <c r="F587" s="659" t="s">
        <v>65</v>
      </c>
      <c r="G587" s="660" t="s">
        <v>47</v>
      </c>
      <c r="H587" s="660" t="s">
        <v>45</v>
      </c>
      <c r="I587" s="661" t="s">
        <v>46</v>
      </c>
      <c r="J587" s="17"/>
      <c r="K587" s="33">
        <f t="shared" si="102"/>
        <v>225</v>
      </c>
      <c r="L587" s="33">
        <f t="shared" si="102"/>
        <v>0</v>
      </c>
      <c r="M587" s="33">
        <f t="shared" si="102"/>
        <v>225</v>
      </c>
    </row>
    <row r="588" spans="1:13" s="14" customFormat="1" ht="18.75" customHeight="1" x14ac:dyDescent="0.35">
      <c r="A588" s="18"/>
      <c r="B588" s="35" t="s">
        <v>279</v>
      </c>
      <c r="C588" s="32" t="s">
        <v>318</v>
      </c>
      <c r="D588" s="17" t="s">
        <v>226</v>
      </c>
      <c r="E588" s="17" t="s">
        <v>81</v>
      </c>
      <c r="F588" s="659" t="s">
        <v>65</v>
      </c>
      <c r="G588" s="660" t="s">
        <v>47</v>
      </c>
      <c r="H588" s="660" t="s">
        <v>41</v>
      </c>
      <c r="I588" s="661" t="s">
        <v>46</v>
      </c>
      <c r="J588" s="17"/>
      <c r="K588" s="33">
        <f t="shared" si="102"/>
        <v>225</v>
      </c>
      <c r="L588" s="33">
        <f t="shared" si="102"/>
        <v>0</v>
      </c>
      <c r="M588" s="33">
        <f t="shared" si="102"/>
        <v>225</v>
      </c>
    </row>
    <row r="589" spans="1:13" s="14" customFormat="1" ht="45" customHeight="1" x14ac:dyDescent="0.35">
      <c r="A589" s="18"/>
      <c r="B589" s="35" t="s">
        <v>213</v>
      </c>
      <c r="C589" s="32" t="s">
        <v>318</v>
      </c>
      <c r="D589" s="17" t="s">
        <v>226</v>
      </c>
      <c r="E589" s="17" t="s">
        <v>81</v>
      </c>
      <c r="F589" s="659" t="s">
        <v>65</v>
      </c>
      <c r="G589" s="660" t="s">
        <v>47</v>
      </c>
      <c r="H589" s="660" t="s">
        <v>41</v>
      </c>
      <c r="I589" s="661" t="s">
        <v>281</v>
      </c>
      <c r="J589" s="17"/>
      <c r="K589" s="33">
        <f t="shared" si="102"/>
        <v>225</v>
      </c>
      <c r="L589" s="33">
        <f t="shared" si="102"/>
        <v>0</v>
      </c>
      <c r="M589" s="33">
        <f t="shared" si="102"/>
        <v>225</v>
      </c>
    </row>
    <row r="590" spans="1:13" s="14" customFormat="1" ht="37.5" customHeight="1" x14ac:dyDescent="0.35">
      <c r="A590" s="18"/>
      <c r="B590" s="35" t="s">
        <v>122</v>
      </c>
      <c r="C590" s="32" t="s">
        <v>318</v>
      </c>
      <c r="D590" s="17" t="s">
        <v>226</v>
      </c>
      <c r="E590" s="17" t="s">
        <v>81</v>
      </c>
      <c r="F590" s="659" t="s">
        <v>65</v>
      </c>
      <c r="G590" s="660" t="s">
        <v>47</v>
      </c>
      <c r="H590" s="660" t="s">
        <v>41</v>
      </c>
      <c r="I590" s="661" t="s">
        <v>281</v>
      </c>
      <c r="J590" s="17" t="s">
        <v>123</v>
      </c>
      <c r="K590" s="33">
        <v>225</v>
      </c>
      <c r="L590" s="33">
        <f>M590-K590</f>
        <v>0</v>
      </c>
      <c r="M590" s="33">
        <v>225</v>
      </c>
    </row>
    <row r="591" spans="1:13" s="14" customFormat="1" ht="18.75" customHeight="1" x14ac:dyDescent="0.35">
      <c r="A591" s="18"/>
      <c r="B591" s="31" t="s">
        <v>190</v>
      </c>
      <c r="C591" s="32" t="s">
        <v>318</v>
      </c>
      <c r="D591" s="17" t="s">
        <v>228</v>
      </c>
      <c r="E591" s="17"/>
      <c r="F591" s="659"/>
      <c r="G591" s="660"/>
      <c r="H591" s="660"/>
      <c r="I591" s="661"/>
      <c r="J591" s="17"/>
      <c r="K591" s="33">
        <f>K592+K620</f>
        <v>43474.6</v>
      </c>
      <c r="L591" s="33">
        <f>L592+L620</f>
        <v>44.800000000000068</v>
      </c>
      <c r="M591" s="33">
        <f>M592+M620</f>
        <v>43519.4</v>
      </c>
    </row>
    <row r="592" spans="1:13" s="14" customFormat="1" ht="18.75" customHeight="1" x14ac:dyDescent="0.35">
      <c r="A592" s="18"/>
      <c r="B592" s="31" t="s">
        <v>192</v>
      </c>
      <c r="C592" s="32" t="s">
        <v>318</v>
      </c>
      <c r="D592" s="17" t="s">
        <v>228</v>
      </c>
      <c r="E592" s="17" t="s">
        <v>39</v>
      </c>
      <c r="F592" s="659"/>
      <c r="G592" s="660"/>
      <c r="H592" s="660"/>
      <c r="I592" s="661"/>
      <c r="J592" s="17"/>
      <c r="K592" s="33">
        <f>K593</f>
        <v>31746.5</v>
      </c>
      <c r="L592" s="33">
        <f>L593</f>
        <v>561.22300000000007</v>
      </c>
      <c r="M592" s="33">
        <f>M593</f>
        <v>32307.723000000002</v>
      </c>
    </row>
    <row r="593" spans="1:13" s="14" customFormat="1" ht="56.25" customHeight="1" x14ac:dyDescent="0.35">
      <c r="A593" s="18"/>
      <c r="B593" s="37" t="s">
        <v>215</v>
      </c>
      <c r="C593" s="32" t="s">
        <v>318</v>
      </c>
      <c r="D593" s="17" t="s">
        <v>228</v>
      </c>
      <c r="E593" s="17" t="s">
        <v>39</v>
      </c>
      <c r="F593" s="659" t="s">
        <v>65</v>
      </c>
      <c r="G593" s="660" t="s">
        <v>44</v>
      </c>
      <c r="H593" s="660" t="s">
        <v>45</v>
      </c>
      <c r="I593" s="661" t="s">
        <v>46</v>
      </c>
      <c r="J593" s="17"/>
      <c r="K593" s="33">
        <f>K594+K613</f>
        <v>31746.5</v>
      </c>
      <c r="L593" s="33">
        <f>L594+L613</f>
        <v>561.22300000000007</v>
      </c>
      <c r="M593" s="33">
        <f>M594+M613</f>
        <v>32307.723000000002</v>
      </c>
    </row>
    <row r="594" spans="1:13" s="14" customFormat="1" ht="75" customHeight="1" x14ac:dyDescent="0.35">
      <c r="A594" s="18"/>
      <c r="B594" s="37" t="s">
        <v>216</v>
      </c>
      <c r="C594" s="32" t="s">
        <v>318</v>
      </c>
      <c r="D594" s="17" t="s">
        <v>228</v>
      </c>
      <c r="E594" s="17" t="s">
        <v>39</v>
      </c>
      <c r="F594" s="41" t="s">
        <v>65</v>
      </c>
      <c r="G594" s="124" t="s">
        <v>47</v>
      </c>
      <c r="H594" s="124" t="s">
        <v>45</v>
      </c>
      <c r="I594" s="125" t="s">
        <v>46</v>
      </c>
      <c r="J594" s="126"/>
      <c r="K594" s="33">
        <f>K595+K604</f>
        <v>31397.011999999999</v>
      </c>
      <c r="L594" s="33">
        <f>L595+L604</f>
        <v>561.22300000000007</v>
      </c>
      <c r="M594" s="33">
        <f>M595+M604</f>
        <v>31958.235000000001</v>
      </c>
    </row>
    <row r="595" spans="1:13" s="14" customFormat="1" ht="18.75" customHeight="1" x14ac:dyDescent="0.35">
      <c r="A595" s="18"/>
      <c r="B595" s="31" t="s">
        <v>321</v>
      </c>
      <c r="C595" s="32" t="s">
        <v>318</v>
      </c>
      <c r="D595" s="17" t="s">
        <v>228</v>
      </c>
      <c r="E595" s="17" t="s">
        <v>39</v>
      </c>
      <c r="F595" s="41" t="s">
        <v>65</v>
      </c>
      <c r="G595" s="124" t="s">
        <v>47</v>
      </c>
      <c r="H595" s="124" t="s">
        <v>65</v>
      </c>
      <c r="I595" s="125" t="s">
        <v>46</v>
      </c>
      <c r="J595" s="126"/>
      <c r="K595" s="33">
        <f>K596+K598+K600+K602</f>
        <v>12204.5</v>
      </c>
      <c r="L595" s="33">
        <f>L596+L598+L600+L602</f>
        <v>561.22300000000007</v>
      </c>
      <c r="M595" s="33">
        <f>M596+M598+M600+M602</f>
        <v>12765.723</v>
      </c>
    </row>
    <row r="596" spans="1:13" s="14" customFormat="1" ht="35.25" customHeight="1" x14ac:dyDescent="0.35">
      <c r="A596" s="18"/>
      <c r="B596" s="34" t="s">
        <v>540</v>
      </c>
      <c r="C596" s="32" t="s">
        <v>318</v>
      </c>
      <c r="D596" s="17" t="s">
        <v>228</v>
      </c>
      <c r="E596" s="17" t="s">
        <v>39</v>
      </c>
      <c r="F596" s="41" t="s">
        <v>65</v>
      </c>
      <c r="G596" s="124" t="s">
        <v>47</v>
      </c>
      <c r="H596" s="124" t="s">
        <v>65</v>
      </c>
      <c r="I596" s="125" t="s">
        <v>93</v>
      </c>
      <c r="J596" s="126"/>
      <c r="K596" s="33">
        <f>K597</f>
        <v>11475.3</v>
      </c>
      <c r="L596" s="33">
        <f>L597</f>
        <v>0</v>
      </c>
      <c r="M596" s="33">
        <f>M597</f>
        <v>11475.3</v>
      </c>
    </row>
    <row r="597" spans="1:13" s="14" customFormat="1" ht="56.25" customHeight="1" x14ac:dyDescent="0.35">
      <c r="A597" s="18"/>
      <c r="B597" s="35" t="s">
        <v>78</v>
      </c>
      <c r="C597" s="32" t="s">
        <v>318</v>
      </c>
      <c r="D597" s="17" t="s">
        <v>228</v>
      </c>
      <c r="E597" s="17" t="s">
        <v>39</v>
      </c>
      <c r="F597" s="659" t="s">
        <v>65</v>
      </c>
      <c r="G597" s="660" t="s">
        <v>47</v>
      </c>
      <c r="H597" s="660" t="s">
        <v>65</v>
      </c>
      <c r="I597" s="661" t="s">
        <v>93</v>
      </c>
      <c r="J597" s="17" t="s">
        <v>79</v>
      </c>
      <c r="K597" s="33">
        <f>11234+219.5+21.8</f>
        <v>11475.3</v>
      </c>
      <c r="L597" s="33">
        <f>M597-K597</f>
        <v>0</v>
      </c>
      <c r="M597" s="33">
        <f>11234+219.5+21.8</f>
        <v>11475.3</v>
      </c>
    </row>
    <row r="598" spans="1:13" s="14" customFormat="1" ht="37.5" customHeight="1" x14ac:dyDescent="0.35">
      <c r="A598" s="18"/>
      <c r="B598" s="35" t="s">
        <v>319</v>
      </c>
      <c r="C598" s="32" t="s">
        <v>318</v>
      </c>
      <c r="D598" s="17" t="s">
        <v>228</v>
      </c>
      <c r="E598" s="17" t="s">
        <v>39</v>
      </c>
      <c r="F598" s="41" t="s">
        <v>65</v>
      </c>
      <c r="G598" s="124" t="s">
        <v>47</v>
      </c>
      <c r="H598" s="124" t="s">
        <v>65</v>
      </c>
      <c r="I598" s="125" t="s">
        <v>320</v>
      </c>
      <c r="J598" s="126"/>
      <c r="K598" s="33">
        <f>K599</f>
        <v>258.2</v>
      </c>
      <c r="L598" s="33">
        <f>L599</f>
        <v>0</v>
      </c>
      <c r="M598" s="33">
        <f>M599</f>
        <v>258.2</v>
      </c>
    </row>
    <row r="599" spans="1:13" s="14" customFormat="1" ht="56.25" customHeight="1" x14ac:dyDescent="0.35">
      <c r="A599" s="18"/>
      <c r="B599" s="35" t="s">
        <v>78</v>
      </c>
      <c r="C599" s="32" t="s">
        <v>318</v>
      </c>
      <c r="D599" s="17" t="s">
        <v>228</v>
      </c>
      <c r="E599" s="17" t="s">
        <v>39</v>
      </c>
      <c r="F599" s="41" t="s">
        <v>65</v>
      </c>
      <c r="G599" s="124" t="s">
        <v>47</v>
      </c>
      <c r="H599" s="124" t="s">
        <v>65</v>
      </c>
      <c r="I599" s="125" t="s">
        <v>320</v>
      </c>
      <c r="J599" s="126" t="s">
        <v>79</v>
      </c>
      <c r="K599" s="33">
        <v>258.2</v>
      </c>
      <c r="L599" s="33">
        <f>M599-K599</f>
        <v>0</v>
      </c>
      <c r="M599" s="33">
        <v>258.2</v>
      </c>
    </row>
    <row r="600" spans="1:13" s="14" customFormat="1" ht="56.25" customHeight="1" x14ac:dyDescent="0.35">
      <c r="A600" s="18"/>
      <c r="B600" s="35" t="s">
        <v>217</v>
      </c>
      <c r="C600" s="32" t="s">
        <v>318</v>
      </c>
      <c r="D600" s="17" t="s">
        <v>228</v>
      </c>
      <c r="E600" s="17" t="s">
        <v>39</v>
      </c>
      <c r="F600" s="659" t="s">
        <v>65</v>
      </c>
      <c r="G600" s="660" t="s">
        <v>47</v>
      </c>
      <c r="H600" s="660" t="s">
        <v>65</v>
      </c>
      <c r="I600" s="661" t="s">
        <v>322</v>
      </c>
      <c r="J600" s="17"/>
      <c r="K600" s="33">
        <f>K601</f>
        <v>471</v>
      </c>
      <c r="L600" s="33">
        <f>L601</f>
        <v>0</v>
      </c>
      <c r="M600" s="33">
        <f>M601</f>
        <v>471</v>
      </c>
    </row>
    <row r="601" spans="1:13" s="14" customFormat="1" ht="56.25" customHeight="1" x14ac:dyDescent="0.35">
      <c r="A601" s="18"/>
      <c r="B601" s="35" t="s">
        <v>78</v>
      </c>
      <c r="C601" s="32" t="s">
        <v>318</v>
      </c>
      <c r="D601" s="17" t="s">
        <v>228</v>
      </c>
      <c r="E601" s="17" t="s">
        <v>39</v>
      </c>
      <c r="F601" s="659" t="s">
        <v>65</v>
      </c>
      <c r="G601" s="660" t="s">
        <v>47</v>
      </c>
      <c r="H601" s="660" t="s">
        <v>65</v>
      </c>
      <c r="I601" s="661" t="s">
        <v>322</v>
      </c>
      <c r="J601" s="17" t="s">
        <v>79</v>
      </c>
      <c r="K601" s="33">
        <v>471</v>
      </c>
      <c r="L601" s="33">
        <f>M601-K601</f>
        <v>0</v>
      </c>
      <c r="M601" s="33">
        <v>471</v>
      </c>
    </row>
    <row r="602" spans="1:13" s="14" customFormat="1" ht="18" x14ac:dyDescent="0.35">
      <c r="A602" s="18"/>
      <c r="B602" s="35" t="s">
        <v>767</v>
      </c>
      <c r="C602" s="32" t="s">
        <v>318</v>
      </c>
      <c r="D602" s="17" t="s">
        <v>228</v>
      </c>
      <c r="E602" s="17" t="s">
        <v>39</v>
      </c>
      <c r="F602" s="659" t="s">
        <v>65</v>
      </c>
      <c r="G602" s="660" t="s">
        <v>47</v>
      </c>
      <c r="H602" s="660" t="s">
        <v>65</v>
      </c>
      <c r="I602" s="661" t="s">
        <v>766</v>
      </c>
      <c r="J602" s="17"/>
      <c r="K602" s="33">
        <f>K603</f>
        <v>0</v>
      </c>
      <c r="L602" s="33">
        <f>L603</f>
        <v>561.22300000000007</v>
      </c>
      <c r="M602" s="33">
        <f>M603</f>
        <v>561.22300000000007</v>
      </c>
    </row>
    <row r="603" spans="1:13" s="14" customFormat="1" ht="56.25" customHeight="1" x14ac:dyDescent="0.35">
      <c r="A603" s="18"/>
      <c r="B603" s="35" t="s">
        <v>78</v>
      </c>
      <c r="C603" s="32" t="s">
        <v>318</v>
      </c>
      <c r="D603" s="17" t="s">
        <v>228</v>
      </c>
      <c r="E603" s="17" t="s">
        <v>39</v>
      </c>
      <c r="F603" s="659" t="s">
        <v>65</v>
      </c>
      <c r="G603" s="660" t="s">
        <v>47</v>
      </c>
      <c r="H603" s="660" t="s">
        <v>65</v>
      </c>
      <c r="I603" s="661" t="s">
        <v>766</v>
      </c>
      <c r="J603" s="17" t="s">
        <v>79</v>
      </c>
      <c r="K603" s="33"/>
      <c r="L603" s="33">
        <f>M603-K603</f>
        <v>561.22300000000007</v>
      </c>
      <c r="M603" s="33">
        <f>505.1+56.123</f>
        <v>561.22300000000007</v>
      </c>
    </row>
    <row r="604" spans="1:13" s="14" customFormat="1" ht="37.5" customHeight="1" x14ac:dyDescent="0.35">
      <c r="A604" s="18"/>
      <c r="B604" s="35" t="s">
        <v>323</v>
      </c>
      <c r="C604" s="32" t="s">
        <v>318</v>
      </c>
      <c r="D604" s="17" t="s">
        <v>228</v>
      </c>
      <c r="E604" s="17" t="s">
        <v>39</v>
      </c>
      <c r="F604" s="41" t="s">
        <v>65</v>
      </c>
      <c r="G604" s="124" t="s">
        <v>47</v>
      </c>
      <c r="H604" s="124" t="s">
        <v>54</v>
      </c>
      <c r="I604" s="661" t="s">
        <v>46</v>
      </c>
      <c r="J604" s="17"/>
      <c r="K604" s="33">
        <f t="shared" ref="K604" si="103">K605+K609+K611</f>
        <v>19192.511999999999</v>
      </c>
      <c r="L604" s="33">
        <f t="shared" ref="L604:M604" si="104">L605+L609+L611</f>
        <v>0</v>
      </c>
      <c r="M604" s="33">
        <f t="shared" si="104"/>
        <v>19192.511999999999</v>
      </c>
    </row>
    <row r="605" spans="1:13" s="14" customFormat="1" ht="44.25" customHeight="1" x14ac:dyDescent="0.35">
      <c r="A605" s="18"/>
      <c r="B605" s="34" t="s">
        <v>540</v>
      </c>
      <c r="C605" s="32" t="s">
        <v>318</v>
      </c>
      <c r="D605" s="17" t="s">
        <v>228</v>
      </c>
      <c r="E605" s="17" t="s">
        <v>39</v>
      </c>
      <c r="F605" s="41" t="s">
        <v>65</v>
      </c>
      <c r="G605" s="124" t="s">
        <v>47</v>
      </c>
      <c r="H605" s="124" t="s">
        <v>54</v>
      </c>
      <c r="I605" s="125" t="s">
        <v>93</v>
      </c>
      <c r="J605" s="126"/>
      <c r="K605" s="33">
        <f>K606+K607+K608</f>
        <v>13245.4</v>
      </c>
      <c r="L605" s="33">
        <f>L606+L607+L608</f>
        <v>0</v>
      </c>
      <c r="M605" s="33">
        <f>M606+M607+M608</f>
        <v>13245.4</v>
      </c>
    </row>
    <row r="606" spans="1:13" s="14" customFormat="1" ht="87" customHeight="1" x14ac:dyDescent="0.35">
      <c r="A606" s="18"/>
      <c r="B606" s="31" t="s">
        <v>51</v>
      </c>
      <c r="C606" s="32" t="s">
        <v>318</v>
      </c>
      <c r="D606" s="17" t="s">
        <v>228</v>
      </c>
      <c r="E606" s="17" t="s">
        <v>39</v>
      </c>
      <c r="F606" s="659" t="s">
        <v>65</v>
      </c>
      <c r="G606" s="660" t="s">
        <v>47</v>
      </c>
      <c r="H606" s="660" t="s">
        <v>54</v>
      </c>
      <c r="I606" s="661" t="s">
        <v>93</v>
      </c>
      <c r="J606" s="17" t="s">
        <v>52</v>
      </c>
      <c r="K606" s="33">
        <f>11895.6+206.3+39.2</f>
        <v>12141.1</v>
      </c>
      <c r="L606" s="33">
        <f>M606-K606</f>
        <v>0</v>
      </c>
      <c r="M606" s="33">
        <f>11895.6+206.3+39.2</f>
        <v>12141.1</v>
      </c>
    </row>
    <row r="607" spans="1:13" s="14" customFormat="1" ht="43.2" customHeight="1" x14ac:dyDescent="0.35">
      <c r="A607" s="18"/>
      <c r="B607" s="31" t="s">
        <v>57</v>
      </c>
      <c r="C607" s="32" t="s">
        <v>318</v>
      </c>
      <c r="D607" s="17" t="s">
        <v>228</v>
      </c>
      <c r="E607" s="17" t="s">
        <v>39</v>
      </c>
      <c r="F607" s="659" t="s">
        <v>65</v>
      </c>
      <c r="G607" s="660" t="s">
        <v>47</v>
      </c>
      <c r="H607" s="660" t="s">
        <v>54</v>
      </c>
      <c r="I607" s="661" t="s">
        <v>93</v>
      </c>
      <c r="J607" s="17" t="s">
        <v>58</v>
      </c>
      <c r="K607" s="33">
        <v>1057.3</v>
      </c>
      <c r="L607" s="33">
        <f>M607-K607</f>
        <v>0</v>
      </c>
      <c r="M607" s="33">
        <v>1057.3</v>
      </c>
    </row>
    <row r="608" spans="1:13" s="14" customFormat="1" ht="18.75" customHeight="1" x14ac:dyDescent="0.35">
      <c r="A608" s="18"/>
      <c r="B608" s="31" t="s">
        <v>59</v>
      </c>
      <c r="C608" s="32" t="s">
        <v>318</v>
      </c>
      <c r="D608" s="17" t="s">
        <v>228</v>
      </c>
      <c r="E608" s="17" t="s">
        <v>39</v>
      </c>
      <c r="F608" s="659" t="s">
        <v>65</v>
      </c>
      <c r="G608" s="660" t="s">
        <v>47</v>
      </c>
      <c r="H608" s="660" t="s">
        <v>54</v>
      </c>
      <c r="I608" s="661" t="s">
        <v>93</v>
      </c>
      <c r="J608" s="17" t="s">
        <v>60</v>
      </c>
      <c r="K608" s="33">
        <v>47</v>
      </c>
      <c r="L608" s="33">
        <f>M608-K608</f>
        <v>0</v>
      </c>
      <c r="M608" s="33">
        <v>47</v>
      </c>
    </row>
    <row r="609" spans="1:13" s="14" customFormat="1" ht="18.75" customHeight="1" x14ac:dyDescent="0.35">
      <c r="A609" s="18"/>
      <c r="B609" s="31" t="s">
        <v>541</v>
      </c>
      <c r="C609" s="32" t="s">
        <v>318</v>
      </c>
      <c r="D609" s="17" t="s">
        <v>228</v>
      </c>
      <c r="E609" s="17" t="s">
        <v>39</v>
      </c>
      <c r="F609" s="659" t="s">
        <v>65</v>
      </c>
      <c r="G609" s="660" t="s">
        <v>47</v>
      </c>
      <c r="H609" s="660" t="s">
        <v>54</v>
      </c>
      <c r="I609" s="661" t="s">
        <v>399</v>
      </c>
      <c r="J609" s="17"/>
      <c r="K609" s="33">
        <f t="shared" ref="K609:M609" si="105">K610</f>
        <v>1700</v>
      </c>
      <c r="L609" s="33">
        <f t="shared" si="105"/>
        <v>0</v>
      </c>
      <c r="M609" s="33">
        <f t="shared" si="105"/>
        <v>1700</v>
      </c>
    </row>
    <row r="610" spans="1:13" s="14" customFormat="1" ht="52.2" customHeight="1" x14ac:dyDescent="0.35">
      <c r="A610" s="18"/>
      <c r="B610" s="31" t="s">
        <v>57</v>
      </c>
      <c r="C610" s="32" t="s">
        <v>318</v>
      </c>
      <c r="D610" s="17" t="s">
        <v>228</v>
      </c>
      <c r="E610" s="17" t="s">
        <v>39</v>
      </c>
      <c r="F610" s="659" t="s">
        <v>65</v>
      </c>
      <c r="G610" s="660" t="s">
        <v>47</v>
      </c>
      <c r="H610" s="660" t="s">
        <v>54</v>
      </c>
      <c r="I610" s="661" t="s">
        <v>399</v>
      </c>
      <c r="J610" s="17" t="s">
        <v>58</v>
      </c>
      <c r="K610" s="33">
        <v>1700</v>
      </c>
      <c r="L610" s="33">
        <f>M610-K610</f>
        <v>0</v>
      </c>
      <c r="M610" s="33">
        <v>1700</v>
      </c>
    </row>
    <row r="611" spans="1:13" s="14" customFormat="1" ht="90.6" customHeight="1" x14ac:dyDescent="0.35">
      <c r="A611" s="18"/>
      <c r="B611" s="31" t="s">
        <v>704</v>
      </c>
      <c r="C611" s="32" t="s">
        <v>318</v>
      </c>
      <c r="D611" s="17" t="s">
        <v>228</v>
      </c>
      <c r="E611" s="17" t="s">
        <v>39</v>
      </c>
      <c r="F611" s="659" t="s">
        <v>65</v>
      </c>
      <c r="G611" s="660" t="s">
        <v>47</v>
      </c>
      <c r="H611" s="660" t="s">
        <v>54</v>
      </c>
      <c r="I611" s="661" t="s">
        <v>705</v>
      </c>
      <c r="J611" s="17"/>
      <c r="K611" s="33">
        <f t="shared" ref="K611:M611" si="106">K612</f>
        <v>4247.1120000000001</v>
      </c>
      <c r="L611" s="33">
        <f t="shared" si="106"/>
        <v>0</v>
      </c>
      <c r="M611" s="33">
        <f t="shared" si="106"/>
        <v>4247.1120000000001</v>
      </c>
    </row>
    <row r="612" spans="1:13" s="14" customFormat="1" ht="49.8" customHeight="1" x14ac:dyDescent="0.35">
      <c r="A612" s="18"/>
      <c r="B612" s="31" t="s">
        <v>57</v>
      </c>
      <c r="C612" s="32" t="s">
        <v>318</v>
      </c>
      <c r="D612" s="17" t="s">
        <v>228</v>
      </c>
      <c r="E612" s="17" t="s">
        <v>39</v>
      </c>
      <c r="F612" s="659" t="s">
        <v>65</v>
      </c>
      <c r="G612" s="660" t="s">
        <v>47</v>
      </c>
      <c r="H612" s="660" t="s">
        <v>54</v>
      </c>
      <c r="I612" s="661" t="s">
        <v>705</v>
      </c>
      <c r="J612" s="17" t="s">
        <v>58</v>
      </c>
      <c r="K612" s="33">
        <v>4247.1120000000001</v>
      </c>
      <c r="L612" s="33">
        <f>M612-K612</f>
        <v>0</v>
      </c>
      <c r="M612" s="33">
        <v>4247.1120000000001</v>
      </c>
    </row>
    <row r="613" spans="1:13" s="14" customFormat="1" ht="56.4" customHeight="1" x14ac:dyDescent="0.35">
      <c r="A613" s="18"/>
      <c r="B613" s="31" t="s">
        <v>332</v>
      </c>
      <c r="C613" s="32" t="s">
        <v>318</v>
      </c>
      <c r="D613" s="17" t="s">
        <v>228</v>
      </c>
      <c r="E613" s="17" t="s">
        <v>39</v>
      </c>
      <c r="F613" s="41" t="s">
        <v>65</v>
      </c>
      <c r="G613" s="124" t="s">
        <v>91</v>
      </c>
      <c r="H613" s="124" t="s">
        <v>45</v>
      </c>
      <c r="I613" s="661" t="s">
        <v>46</v>
      </c>
      <c r="J613" s="17"/>
      <c r="K613" s="33">
        <f>K614</f>
        <v>349.488</v>
      </c>
      <c r="L613" s="33">
        <f>L614</f>
        <v>0</v>
      </c>
      <c r="M613" s="33">
        <f>M614</f>
        <v>349.488</v>
      </c>
    </row>
    <row r="614" spans="1:13" s="14" customFormat="1" ht="92.25" customHeight="1" x14ac:dyDescent="0.35">
      <c r="A614" s="18"/>
      <c r="B614" s="35" t="s">
        <v>324</v>
      </c>
      <c r="C614" s="32" t="s">
        <v>318</v>
      </c>
      <c r="D614" s="17" t="s">
        <v>228</v>
      </c>
      <c r="E614" s="17" t="s">
        <v>39</v>
      </c>
      <c r="F614" s="41" t="s">
        <v>65</v>
      </c>
      <c r="G614" s="124" t="s">
        <v>91</v>
      </c>
      <c r="H614" s="124" t="s">
        <v>65</v>
      </c>
      <c r="I614" s="661" t="s">
        <v>46</v>
      </c>
      <c r="J614" s="17"/>
      <c r="K614" s="33">
        <f>K615+K618</f>
        <v>349.488</v>
      </c>
      <c r="L614" s="33">
        <f>L615+L618</f>
        <v>0</v>
      </c>
      <c r="M614" s="33">
        <f>M615+M618</f>
        <v>349.488</v>
      </c>
    </row>
    <row r="615" spans="1:13" s="14" customFormat="1" ht="37.5" customHeight="1" x14ac:dyDescent="0.35">
      <c r="A615" s="18"/>
      <c r="B615" s="35" t="s">
        <v>319</v>
      </c>
      <c r="C615" s="32" t="s">
        <v>318</v>
      </c>
      <c r="D615" s="17" t="s">
        <v>228</v>
      </c>
      <c r="E615" s="17" t="s">
        <v>39</v>
      </c>
      <c r="F615" s="41" t="s">
        <v>65</v>
      </c>
      <c r="G615" s="124" t="s">
        <v>91</v>
      </c>
      <c r="H615" s="124" t="s">
        <v>65</v>
      </c>
      <c r="I615" s="125" t="s">
        <v>320</v>
      </c>
      <c r="J615" s="126"/>
      <c r="K615" s="33">
        <f t="shared" ref="K615" si="107">K617+K616</f>
        <v>307.38799999999998</v>
      </c>
      <c r="L615" s="33">
        <f t="shared" ref="L615" si="108">L617+L616</f>
        <v>0</v>
      </c>
      <c r="M615" s="33">
        <f t="shared" ref="M615" si="109">M617+M616</f>
        <v>307.38799999999998</v>
      </c>
    </row>
    <row r="616" spans="1:13" s="14" customFormat="1" ht="44.4" customHeight="1" x14ac:dyDescent="0.35">
      <c r="A616" s="18"/>
      <c r="B616" s="35" t="s">
        <v>57</v>
      </c>
      <c r="C616" s="32" t="s">
        <v>318</v>
      </c>
      <c r="D616" s="17" t="s">
        <v>228</v>
      </c>
      <c r="E616" s="17" t="s">
        <v>39</v>
      </c>
      <c r="F616" s="41" t="s">
        <v>65</v>
      </c>
      <c r="G616" s="124" t="s">
        <v>91</v>
      </c>
      <c r="H616" s="124" t="s">
        <v>65</v>
      </c>
      <c r="I616" s="125" t="s">
        <v>320</v>
      </c>
      <c r="J616" s="126" t="s">
        <v>58</v>
      </c>
      <c r="K616" s="33">
        <v>289.488</v>
      </c>
      <c r="L616" s="33">
        <f>M616-K616</f>
        <v>0</v>
      </c>
      <c r="M616" s="33">
        <v>289.488</v>
      </c>
    </row>
    <row r="617" spans="1:13" s="14" customFormat="1" ht="56.25" customHeight="1" x14ac:dyDescent="0.35">
      <c r="A617" s="18"/>
      <c r="B617" s="35" t="s">
        <v>78</v>
      </c>
      <c r="C617" s="32" t="s">
        <v>318</v>
      </c>
      <c r="D617" s="17" t="s">
        <v>228</v>
      </c>
      <c r="E617" s="17" t="s">
        <v>39</v>
      </c>
      <c r="F617" s="659" t="s">
        <v>65</v>
      </c>
      <c r="G617" s="660" t="s">
        <v>91</v>
      </c>
      <c r="H617" s="660" t="s">
        <v>65</v>
      </c>
      <c r="I617" s="661" t="s">
        <v>320</v>
      </c>
      <c r="J617" s="17" t="s">
        <v>79</v>
      </c>
      <c r="K617" s="33">
        <v>17.899999999999999</v>
      </c>
      <c r="L617" s="33">
        <f>M617-K617</f>
        <v>0</v>
      </c>
      <c r="M617" s="33">
        <v>17.899999999999999</v>
      </c>
    </row>
    <row r="618" spans="1:13" s="14" customFormat="1" ht="56.25" customHeight="1" x14ac:dyDescent="0.35">
      <c r="A618" s="18"/>
      <c r="B618" s="35" t="s">
        <v>476</v>
      </c>
      <c r="C618" s="32" t="s">
        <v>318</v>
      </c>
      <c r="D618" s="17" t="s">
        <v>228</v>
      </c>
      <c r="E618" s="17" t="s">
        <v>39</v>
      </c>
      <c r="F618" s="659" t="s">
        <v>65</v>
      </c>
      <c r="G618" s="660" t="s">
        <v>91</v>
      </c>
      <c r="H618" s="660" t="s">
        <v>65</v>
      </c>
      <c r="I618" s="661" t="s">
        <v>477</v>
      </c>
      <c r="J618" s="17"/>
      <c r="K618" s="33">
        <f>K619</f>
        <v>42.1</v>
      </c>
      <c r="L618" s="33">
        <f>L619</f>
        <v>0</v>
      </c>
      <c r="M618" s="33">
        <f>M619</f>
        <v>42.1</v>
      </c>
    </row>
    <row r="619" spans="1:13" s="14" customFormat="1" ht="56.25" customHeight="1" x14ac:dyDescent="0.35">
      <c r="A619" s="18"/>
      <c r="B619" s="35" t="s">
        <v>78</v>
      </c>
      <c r="C619" s="32" t="s">
        <v>318</v>
      </c>
      <c r="D619" s="17" t="s">
        <v>228</v>
      </c>
      <c r="E619" s="17" t="s">
        <v>39</v>
      </c>
      <c r="F619" s="659" t="s">
        <v>65</v>
      </c>
      <c r="G619" s="660" t="s">
        <v>91</v>
      </c>
      <c r="H619" s="660" t="s">
        <v>65</v>
      </c>
      <c r="I619" s="661" t="s">
        <v>477</v>
      </c>
      <c r="J619" s="17" t="s">
        <v>79</v>
      </c>
      <c r="K619" s="33">
        <v>42.1</v>
      </c>
      <c r="L619" s="33">
        <f>M619-K619</f>
        <v>0</v>
      </c>
      <c r="M619" s="33">
        <v>42.1</v>
      </c>
    </row>
    <row r="620" spans="1:13" s="14" customFormat="1" ht="37.5" customHeight="1" x14ac:dyDescent="0.35">
      <c r="A620" s="18"/>
      <c r="B620" s="31" t="s">
        <v>325</v>
      </c>
      <c r="C620" s="32" t="s">
        <v>318</v>
      </c>
      <c r="D620" s="17" t="s">
        <v>228</v>
      </c>
      <c r="E620" s="17" t="s">
        <v>54</v>
      </c>
      <c r="F620" s="41"/>
      <c r="G620" s="124"/>
      <c r="H620" s="124"/>
      <c r="I620" s="125"/>
      <c r="J620" s="126"/>
      <c r="K620" s="33">
        <f>K621</f>
        <v>11728.1</v>
      </c>
      <c r="L620" s="33">
        <f>L621</f>
        <v>-516.423</v>
      </c>
      <c r="M620" s="33">
        <f>M621</f>
        <v>11211.677000000001</v>
      </c>
    </row>
    <row r="621" spans="1:13" s="14" customFormat="1" ht="56.25" customHeight="1" x14ac:dyDescent="0.35">
      <c r="A621" s="18"/>
      <c r="B621" s="37" t="s">
        <v>215</v>
      </c>
      <c r="C621" s="32" t="s">
        <v>318</v>
      </c>
      <c r="D621" s="17" t="s">
        <v>228</v>
      </c>
      <c r="E621" s="17" t="s">
        <v>54</v>
      </c>
      <c r="F621" s="41" t="s">
        <v>65</v>
      </c>
      <c r="G621" s="124" t="s">
        <v>44</v>
      </c>
      <c r="H621" s="124" t="s">
        <v>45</v>
      </c>
      <c r="I621" s="125" t="s">
        <v>46</v>
      </c>
      <c r="J621" s="126"/>
      <c r="K621" s="33">
        <f>K626+K622</f>
        <v>11728.1</v>
      </c>
      <c r="L621" s="33">
        <f>L626+L622</f>
        <v>-516.423</v>
      </c>
      <c r="M621" s="33">
        <f>M626+M622</f>
        <v>11211.677000000001</v>
      </c>
    </row>
    <row r="622" spans="1:13" s="14" customFormat="1" ht="41.4" customHeight="1" x14ac:dyDescent="0.35">
      <c r="A622" s="18"/>
      <c r="B622" s="31" t="s">
        <v>332</v>
      </c>
      <c r="C622" s="32" t="s">
        <v>318</v>
      </c>
      <c r="D622" s="17" t="s">
        <v>228</v>
      </c>
      <c r="E622" s="17" t="s">
        <v>54</v>
      </c>
      <c r="F622" s="659" t="s">
        <v>65</v>
      </c>
      <c r="G622" s="660" t="s">
        <v>91</v>
      </c>
      <c r="H622" s="660" t="s">
        <v>45</v>
      </c>
      <c r="I622" s="661" t="s">
        <v>46</v>
      </c>
      <c r="J622" s="17"/>
      <c r="K622" s="33">
        <f t="shared" ref="K622:M624" si="110">K623</f>
        <v>589.4</v>
      </c>
      <c r="L622" s="33">
        <f t="shared" si="110"/>
        <v>-516.423</v>
      </c>
      <c r="M622" s="33">
        <f t="shared" si="110"/>
        <v>72.976999999999919</v>
      </c>
    </row>
    <row r="623" spans="1:13" s="14" customFormat="1" ht="87" customHeight="1" x14ac:dyDescent="0.35">
      <c r="A623" s="18"/>
      <c r="B623" s="113" t="s">
        <v>324</v>
      </c>
      <c r="C623" s="32" t="s">
        <v>318</v>
      </c>
      <c r="D623" s="17" t="s">
        <v>228</v>
      </c>
      <c r="E623" s="17" t="s">
        <v>54</v>
      </c>
      <c r="F623" s="659" t="s">
        <v>65</v>
      </c>
      <c r="G623" s="660" t="s">
        <v>91</v>
      </c>
      <c r="H623" s="660" t="s">
        <v>65</v>
      </c>
      <c r="I623" s="661" t="s">
        <v>46</v>
      </c>
      <c r="J623" s="17"/>
      <c r="K623" s="33">
        <f t="shared" si="110"/>
        <v>589.4</v>
      </c>
      <c r="L623" s="33">
        <f t="shared" si="110"/>
        <v>-516.423</v>
      </c>
      <c r="M623" s="33">
        <f t="shared" si="110"/>
        <v>72.976999999999919</v>
      </c>
    </row>
    <row r="624" spans="1:13" s="14" customFormat="1" ht="37.5" customHeight="1" x14ac:dyDescent="0.35">
      <c r="A624" s="18"/>
      <c r="B624" s="35" t="s">
        <v>319</v>
      </c>
      <c r="C624" s="32" t="s">
        <v>318</v>
      </c>
      <c r="D624" s="17" t="s">
        <v>228</v>
      </c>
      <c r="E624" s="17" t="s">
        <v>54</v>
      </c>
      <c r="F624" s="659" t="s">
        <v>65</v>
      </c>
      <c r="G624" s="660" t="s">
        <v>91</v>
      </c>
      <c r="H624" s="660" t="s">
        <v>65</v>
      </c>
      <c r="I624" s="661" t="s">
        <v>320</v>
      </c>
      <c r="J624" s="17"/>
      <c r="K624" s="33">
        <f t="shared" si="110"/>
        <v>589.4</v>
      </c>
      <c r="L624" s="33">
        <f t="shared" si="110"/>
        <v>-516.423</v>
      </c>
      <c r="M624" s="33">
        <f t="shared" si="110"/>
        <v>72.976999999999919</v>
      </c>
    </row>
    <row r="625" spans="1:13" s="14" customFormat="1" ht="50.25" customHeight="1" x14ac:dyDescent="0.35">
      <c r="A625" s="18"/>
      <c r="B625" s="31" t="s">
        <v>57</v>
      </c>
      <c r="C625" s="32" t="s">
        <v>318</v>
      </c>
      <c r="D625" s="17" t="s">
        <v>228</v>
      </c>
      <c r="E625" s="17" t="s">
        <v>54</v>
      </c>
      <c r="F625" s="659" t="s">
        <v>65</v>
      </c>
      <c r="G625" s="660" t="s">
        <v>91</v>
      </c>
      <c r="H625" s="660" t="s">
        <v>65</v>
      </c>
      <c r="I625" s="661" t="s">
        <v>320</v>
      </c>
      <c r="J625" s="17" t="s">
        <v>58</v>
      </c>
      <c r="K625" s="33">
        <v>589.4</v>
      </c>
      <c r="L625" s="33">
        <f>M625-K625</f>
        <v>-516.423</v>
      </c>
      <c r="M625" s="33">
        <f>589.4-56.123-460.3</f>
        <v>72.976999999999919</v>
      </c>
    </row>
    <row r="626" spans="1:13" s="14" customFormat="1" ht="56.25" customHeight="1" x14ac:dyDescent="0.35">
      <c r="A626" s="18"/>
      <c r="B626" s="31" t="s">
        <v>218</v>
      </c>
      <c r="C626" s="32" t="s">
        <v>318</v>
      </c>
      <c r="D626" s="17" t="s">
        <v>228</v>
      </c>
      <c r="E626" s="17" t="s">
        <v>54</v>
      </c>
      <c r="F626" s="659" t="s">
        <v>65</v>
      </c>
      <c r="G626" s="660" t="s">
        <v>32</v>
      </c>
      <c r="H626" s="660" t="s">
        <v>45</v>
      </c>
      <c r="I626" s="661" t="s">
        <v>46</v>
      </c>
      <c r="J626" s="17"/>
      <c r="K626" s="33">
        <f>K627</f>
        <v>11138.7</v>
      </c>
      <c r="L626" s="33">
        <f>L627</f>
        <v>0</v>
      </c>
      <c r="M626" s="33">
        <f>M627</f>
        <v>11138.7</v>
      </c>
    </row>
    <row r="627" spans="1:13" s="14" customFormat="1" ht="37.5" customHeight="1" x14ac:dyDescent="0.35">
      <c r="A627" s="18"/>
      <c r="B627" s="31" t="s">
        <v>284</v>
      </c>
      <c r="C627" s="32" t="s">
        <v>318</v>
      </c>
      <c r="D627" s="17" t="s">
        <v>228</v>
      </c>
      <c r="E627" s="17" t="s">
        <v>54</v>
      </c>
      <c r="F627" s="659" t="s">
        <v>65</v>
      </c>
      <c r="G627" s="660" t="s">
        <v>32</v>
      </c>
      <c r="H627" s="660" t="s">
        <v>39</v>
      </c>
      <c r="I627" s="661" t="s">
        <v>46</v>
      </c>
      <c r="J627" s="17"/>
      <c r="K627" s="33">
        <f>K628+K632+K636</f>
        <v>11138.7</v>
      </c>
      <c r="L627" s="33">
        <f>L628+L632+L636</f>
        <v>0</v>
      </c>
      <c r="M627" s="33">
        <f>M628+M632+M636</f>
        <v>11138.7</v>
      </c>
    </row>
    <row r="628" spans="1:13" s="14" customFormat="1" ht="37.5" customHeight="1" x14ac:dyDescent="0.35">
      <c r="A628" s="18"/>
      <c r="B628" s="31" t="s">
        <v>49</v>
      </c>
      <c r="C628" s="32" t="s">
        <v>318</v>
      </c>
      <c r="D628" s="17" t="s">
        <v>228</v>
      </c>
      <c r="E628" s="17" t="s">
        <v>54</v>
      </c>
      <c r="F628" s="659" t="s">
        <v>65</v>
      </c>
      <c r="G628" s="660" t="s">
        <v>32</v>
      </c>
      <c r="H628" s="660" t="s">
        <v>39</v>
      </c>
      <c r="I628" s="661" t="s">
        <v>50</v>
      </c>
      <c r="J628" s="126"/>
      <c r="K628" s="33">
        <f>K629+K630+K631</f>
        <v>3290.1</v>
      </c>
      <c r="L628" s="33">
        <f>L629+L630+L631</f>
        <v>0</v>
      </c>
      <c r="M628" s="33">
        <f>M629+M630+M631</f>
        <v>3290.1</v>
      </c>
    </row>
    <row r="629" spans="1:13" s="14" customFormat="1" ht="112.5" customHeight="1" x14ac:dyDescent="0.35">
      <c r="A629" s="18"/>
      <c r="B629" s="31" t="s">
        <v>51</v>
      </c>
      <c r="C629" s="32" t="s">
        <v>318</v>
      </c>
      <c r="D629" s="17" t="s">
        <v>228</v>
      </c>
      <c r="E629" s="17" t="s">
        <v>54</v>
      </c>
      <c r="F629" s="659" t="s">
        <v>65</v>
      </c>
      <c r="G629" s="660" t="s">
        <v>32</v>
      </c>
      <c r="H629" s="660" t="s">
        <v>39</v>
      </c>
      <c r="I629" s="661" t="s">
        <v>50</v>
      </c>
      <c r="J629" s="126" t="s">
        <v>52</v>
      </c>
      <c r="K629" s="33">
        <f>2633.6+402.7</f>
        <v>3036.2999999999997</v>
      </c>
      <c r="L629" s="33">
        <f>M629-K629</f>
        <v>0</v>
      </c>
      <c r="M629" s="33">
        <f>2633.6+402.7</f>
        <v>3036.2999999999997</v>
      </c>
    </row>
    <row r="630" spans="1:13" s="14" customFormat="1" ht="49.2" customHeight="1" x14ac:dyDescent="0.35">
      <c r="A630" s="18"/>
      <c r="B630" s="31" t="s">
        <v>57</v>
      </c>
      <c r="C630" s="32" t="s">
        <v>318</v>
      </c>
      <c r="D630" s="17" t="s">
        <v>228</v>
      </c>
      <c r="E630" s="17" t="s">
        <v>54</v>
      </c>
      <c r="F630" s="659" t="s">
        <v>65</v>
      </c>
      <c r="G630" s="660" t="s">
        <v>32</v>
      </c>
      <c r="H630" s="660" t="s">
        <v>39</v>
      </c>
      <c r="I630" s="661" t="s">
        <v>50</v>
      </c>
      <c r="J630" s="126" t="s">
        <v>58</v>
      </c>
      <c r="K630" s="33">
        <v>249.4</v>
      </c>
      <c r="L630" s="33">
        <f>M630-K630</f>
        <v>0</v>
      </c>
      <c r="M630" s="33">
        <v>249.4</v>
      </c>
    </row>
    <row r="631" spans="1:13" s="14" customFormat="1" ht="18.75" customHeight="1" x14ac:dyDescent="0.35">
      <c r="A631" s="18"/>
      <c r="B631" s="31" t="s">
        <v>59</v>
      </c>
      <c r="C631" s="32" t="s">
        <v>318</v>
      </c>
      <c r="D631" s="17" t="s">
        <v>228</v>
      </c>
      <c r="E631" s="17" t="s">
        <v>54</v>
      </c>
      <c r="F631" s="659" t="s">
        <v>65</v>
      </c>
      <c r="G631" s="660" t="s">
        <v>32</v>
      </c>
      <c r="H631" s="660" t="s">
        <v>39</v>
      </c>
      <c r="I631" s="661" t="s">
        <v>50</v>
      </c>
      <c r="J631" s="17" t="s">
        <v>60</v>
      </c>
      <c r="K631" s="33">
        <v>4.4000000000000004</v>
      </c>
      <c r="L631" s="33">
        <f>M631-K631</f>
        <v>0</v>
      </c>
      <c r="M631" s="33">
        <v>4.4000000000000004</v>
      </c>
    </row>
    <row r="632" spans="1:13" s="14" customFormat="1" ht="39" customHeight="1" x14ac:dyDescent="0.35">
      <c r="A632" s="18"/>
      <c r="B632" s="34" t="s">
        <v>540</v>
      </c>
      <c r="C632" s="32" t="s">
        <v>318</v>
      </c>
      <c r="D632" s="17" t="s">
        <v>228</v>
      </c>
      <c r="E632" s="17" t="s">
        <v>54</v>
      </c>
      <c r="F632" s="659" t="s">
        <v>65</v>
      </c>
      <c r="G632" s="660" t="s">
        <v>32</v>
      </c>
      <c r="H632" s="660" t="s">
        <v>39</v>
      </c>
      <c r="I632" s="661" t="s">
        <v>93</v>
      </c>
      <c r="J632" s="17"/>
      <c r="K632" s="33">
        <f>K633+K634+K635</f>
        <v>7537.1</v>
      </c>
      <c r="L632" s="33">
        <f>L633+L634+L635</f>
        <v>0</v>
      </c>
      <c r="M632" s="33">
        <f>M633+M634+M635</f>
        <v>7537.1</v>
      </c>
    </row>
    <row r="633" spans="1:13" s="14" customFormat="1" ht="112.5" customHeight="1" x14ac:dyDescent="0.35">
      <c r="A633" s="18"/>
      <c r="B633" s="31" t="s">
        <v>51</v>
      </c>
      <c r="C633" s="190" t="s">
        <v>318</v>
      </c>
      <c r="D633" s="126" t="s">
        <v>228</v>
      </c>
      <c r="E633" s="126" t="s">
        <v>54</v>
      </c>
      <c r="F633" s="659" t="s">
        <v>65</v>
      </c>
      <c r="G633" s="660" t="s">
        <v>32</v>
      </c>
      <c r="H633" s="660" t="s">
        <v>39</v>
      </c>
      <c r="I633" s="661" t="s">
        <v>93</v>
      </c>
      <c r="J633" s="126" t="s">
        <v>52</v>
      </c>
      <c r="K633" s="33">
        <f>5944.1+1006.2+38.6</f>
        <v>6988.9000000000005</v>
      </c>
      <c r="L633" s="33">
        <f>M633-K633</f>
        <v>0</v>
      </c>
      <c r="M633" s="33">
        <f>5944.1+1006.2+38.6</f>
        <v>6988.9000000000005</v>
      </c>
    </row>
    <row r="634" spans="1:13" s="14" customFormat="1" ht="43.2" customHeight="1" x14ac:dyDescent="0.35">
      <c r="A634" s="18"/>
      <c r="B634" s="31" t="s">
        <v>57</v>
      </c>
      <c r="C634" s="190" t="s">
        <v>318</v>
      </c>
      <c r="D634" s="126" t="s">
        <v>228</v>
      </c>
      <c r="E634" s="126" t="s">
        <v>54</v>
      </c>
      <c r="F634" s="659" t="s">
        <v>65</v>
      </c>
      <c r="G634" s="660" t="s">
        <v>32</v>
      </c>
      <c r="H634" s="660" t="s">
        <v>39</v>
      </c>
      <c r="I634" s="661" t="s">
        <v>93</v>
      </c>
      <c r="J634" s="126" t="s">
        <v>58</v>
      </c>
      <c r="K634" s="33">
        <v>546.5</v>
      </c>
      <c r="L634" s="33">
        <f>M634-K634</f>
        <v>0</v>
      </c>
      <c r="M634" s="33">
        <v>546.5</v>
      </c>
    </row>
    <row r="635" spans="1:13" s="14" customFormat="1" ht="18.75" customHeight="1" x14ac:dyDescent="0.35">
      <c r="A635" s="18"/>
      <c r="B635" s="31" t="s">
        <v>59</v>
      </c>
      <c r="C635" s="190" t="s">
        <v>318</v>
      </c>
      <c r="D635" s="126" t="s">
        <v>228</v>
      </c>
      <c r="E635" s="126" t="s">
        <v>54</v>
      </c>
      <c r="F635" s="659" t="s">
        <v>65</v>
      </c>
      <c r="G635" s="660" t="s">
        <v>32</v>
      </c>
      <c r="H635" s="660" t="s">
        <v>39</v>
      </c>
      <c r="I635" s="661" t="s">
        <v>93</v>
      </c>
      <c r="J635" s="17" t="s">
        <v>60</v>
      </c>
      <c r="K635" s="33">
        <v>1.7</v>
      </c>
      <c r="L635" s="33">
        <f>M635-K635</f>
        <v>0</v>
      </c>
      <c r="M635" s="33">
        <v>1.7</v>
      </c>
    </row>
    <row r="636" spans="1:13" s="173" customFormat="1" ht="18.75" customHeight="1" x14ac:dyDescent="0.35">
      <c r="A636" s="281"/>
      <c r="B636" s="282" t="s">
        <v>541</v>
      </c>
      <c r="C636" s="190" t="s">
        <v>318</v>
      </c>
      <c r="D636" s="126" t="s">
        <v>228</v>
      </c>
      <c r="E636" s="126" t="s">
        <v>54</v>
      </c>
      <c r="F636" s="659" t="s">
        <v>65</v>
      </c>
      <c r="G636" s="660" t="s">
        <v>32</v>
      </c>
      <c r="H636" s="660" t="s">
        <v>39</v>
      </c>
      <c r="I636" s="206" t="s">
        <v>399</v>
      </c>
      <c r="J636" s="278"/>
      <c r="K636" s="250">
        <f>K637</f>
        <v>311.5</v>
      </c>
      <c r="L636" s="250">
        <f>L637</f>
        <v>0</v>
      </c>
      <c r="M636" s="250">
        <f>M637</f>
        <v>311.5</v>
      </c>
    </row>
    <row r="637" spans="1:13" s="173" customFormat="1" ht="47.4" customHeight="1" x14ac:dyDescent="0.35">
      <c r="A637" s="283"/>
      <c r="B637" s="31" t="s">
        <v>57</v>
      </c>
      <c r="C637" s="190" t="s">
        <v>318</v>
      </c>
      <c r="D637" s="126" t="s">
        <v>228</v>
      </c>
      <c r="E637" s="126" t="s">
        <v>54</v>
      </c>
      <c r="F637" s="659" t="s">
        <v>65</v>
      </c>
      <c r="G637" s="660" t="s">
        <v>32</v>
      </c>
      <c r="H637" s="660" t="s">
        <v>39</v>
      </c>
      <c r="I637" s="280" t="s">
        <v>399</v>
      </c>
      <c r="J637" s="279" t="s">
        <v>58</v>
      </c>
      <c r="K637" s="344">
        <v>311.5</v>
      </c>
      <c r="L637" s="33">
        <f>M637-K637</f>
        <v>0</v>
      </c>
      <c r="M637" s="344">
        <v>311.5</v>
      </c>
    </row>
    <row r="638" spans="1:13" s="173" customFormat="1" ht="18.75" customHeight="1" x14ac:dyDescent="0.35">
      <c r="A638" s="283"/>
      <c r="B638" s="276"/>
      <c r="C638" s="190"/>
      <c r="D638" s="126"/>
      <c r="E638" s="126"/>
      <c r="F638" s="659"/>
      <c r="G638" s="660"/>
      <c r="H638" s="660"/>
      <c r="I638" s="277"/>
      <c r="J638" s="279"/>
      <c r="K638" s="344"/>
      <c r="L638" s="344"/>
      <c r="M638" s="344"/>
    </row>
    <row r="639" spans="1:13" s="152" customFormat="1" ht="56.25" customHeight="1" x14ac:dyDescent="0.3">
      <c r="A639" s="151">
        <v>7</v>
      </c>
      <c r="B639" s="25" t="s">
        <v>10</v>
      </c>
      <c r="C639" s="26" t="s">
        <v>293</v>
      </c>
      <c r="D639" s="27"/>
      <c r="E639" s="27"/>
      <c r="F639" s="28"/>
      <c r="G639" s="29"/>
      <c r="H639" s="29"/>
      <c r="I639" s="30"/>
      <c r="J639" s="27"/>
      <c r="K639" s="47">
        <f>K647+K640</f>
        <v>45854.7</v>
      </c>
      <c r="L639" s="47">
        <f>L647+L640</f>
        <v>4966.3999999999996</v>
      </c>
      <c r="M639" s="47">
        <f>M647+M640</f>
        <v>50821.099999999991</v>
      </c>
    </row>
    <row r="640" spans="1:13" s="152" customFormat="1" ht="21.6" customHeight="1" x14ac:dyDescent="0.35">
      <c r="A640" s="151"/>
      <c r="B640" s="285" t="s">
        <v>38</v>
      </c>
      <c r="C640" s="286" t="s">
        <v>293</v>
      </c>
      <c r="D640" s="42" t="s">
        <v>39</v>
      </c>
      <c r="E640" s="42"/>
      <c r="F640" s="272"/>
      <c r="G640" s="273"/>
      <c r="H640" s="273"/>
      <c r="I640" s="274"/>
      <c r="J640" s="42"/>
      <c r="K640" s="275">
        <f t="shared" ref="K640:M644" si="111">K641</f>
        <v>35.6</v>
      </c>
      <c r="L640" s="275">
        <f t="shared" si="111"/>
        <v>0</v>
      </c>
      <c r="M640" s="275">
        <f t="shared" si="111"/>
        <v>35.6</v>
      </c>
    </row>
    <row r="641" spans="1:13" s="152" customFormat="1" ht="23.25" customHeight="1" x14ac:dyDescent="0.35">
      <c r="A641" s="151"/>
      <c r="B641" s="285" t="s">
        <v>72</v>
      </c>
      <c r="C641" s="286" t="s">
        <v>293</v>
      </c>
      <c r="D641" s="42" t="s">
        <v>39</v>
      </c>
      <c r="E641" s="42" t="s">
        <v>73</v>
      </c>
      <c r="F641" s="272"/>
      <c r="G641" s="273"/>
      <c r="H641" s="273"/>
      <c r="I641" s="274"/>
      <c r="J641" s="42"/>
      <c r="K641" s="275">
        <f t="shared" si="111"/>
        <v>35.6</v>
      </c>
      <c r="L641" s="275">
        <f t="shared" si="111"/>
        <v>0</v>
      </c>
      <c r="M641" s="275">
        <f t="shared" si="111"/>
        <v>35.6</v>
      </c>
    </row>
    <row r="642" spans="1:13" s="152" customFormat="1" ht="56.25" customHeight="1" x14ac:dyDescent="0.35">
      <c r="A642" s="151"/>
      <c r="B642" s="31" t="s">
        <v>219</v>
      </c>
      <c r="C642" s="286" t="s">
        <v>293</v>
      </c>
      <c r="D642" s="42" t="s">
        <v>39</v>
      </c>
      <c r="E642" s="42" t="s">
        <v>73</v>
      </c>
      <c r="F642" s="272" t="s">
        <v>54</v>
      </c>
      <c r="G642" s="273" t="s">
        <v>44</v>
      </c>
      <c r="H642" s="273" t="s">
        <v>45</v>
      </c>
      <c r="I642" s="274" t="s">
        <v>46</v>
      </c>
      <c r="J642" s="42"/>
      <c r="K642" s="275">
        <f t="shared" si="111"/>
        <v>35.6</v>
      </c>
      <c r="L642" s="275">
        <f t="shared" si="111"/>
        <v>0</v>
      </c>
      <c r="M642" s="275">
        <f t="shared" si="111"/>
        <v>35.6</v>
      </c>
    </row>
    <row r="643" spans="1:13" s="152" customFormat="1" ht="37.5" customHeight="1" x14ac:dyDescent="0.35">
      <c r="A643" s="151"/>
      <c r="B643" s="31" t="s">
        <v>222</v>
      </c>
      <c r="C643" s="286" t="s">
        <v>293</v>
      </c>
      <c r="D643" s="42" t="s">
        <v>39</v>
      </c>
      <c r="E643" s="42" t="s">
        <v>73</v>
      </c>
      <c r="F643" s="272" t="s">
        <v>54</v>
      </c>
      <c r="G643" s="273" t="s">
        <v>91</v>
      </c>
      <c r="H643" s="273" t="s">
        <v>45</v>
      </c>
      <c r="I643" s="274" t="s">
        <v>46</v>
      </c>
      <c r="J643" s="42"/>
      <c r="K643" s="275">
        <f t="shared" si="111"/>
        <v>35.6</v>
      </c>
      <c r="L643" s="275">
        <f t="shared" si="111"/>
        <v>0</v>
      </c>
      <c r="M643" s="275">
        <f t="shared" si="111"/>
        <v>35.6</v>
      </c>
    </row>
    <row r="644" spans="1:13" s="152" customFormat="1" ht="41.25" customHeight="1" x14ac:dyDescent="0.35">
      <c r="A644" s="151"/>
      <c r="B644" s="285" t="s">
        <v>360</v>
      </c>
      <c r="C644" s="286" t="s">
        <v>293</v>
      </c>
      <c r="D644" s="42" t="s">
        <v>39</v>
      </c>
      <c r="E644" s="42" t="s">
        <v>73</v>
      </c>
      <c r="F644" s="272" t="s">
        <v>54</v>
      </c>
      <c r="G644" s="273" t="s">
        <v>91</v>
      </c>
      <c r="H644" s="273" t="s">
        <v>65</v>
      </c>
      <c r="I644" s="274" t="s">
        <v>46</v>
      </c>
      <c r="J644" s="42"/>
      <c r="K644" s="275">
        <f t="shared" si="111"/>
        <v>35.6</v>
      </c>
      <c r="L644" s="275">
        <f t="shared" si="111"/>
        <v>0</v>
      </c>
      <c r="M644" s="275">
        <f t="shared" si="111"/>
        <v>35.6</v>
      </c>
    </row>
    <row r="645" spans="1:13" s="152" customFormat="1" ht="56.25" customHeight="1" x14ac:dyDescent="0.35">
      <c r="A645" s="151"/>
      <c r="B645" s="313" t="s">
        <v>361</v>
      </c>
      <c r="C645" s="286" t="s">
        <v>293</v>
      </c>
      <c r="D645" s="42" t="s">
        <v>39</v>
      </c>
      <c r="E645" s="42" t="s">
        <v>73</v>
      </c>
      <c r="F645" s="272" t="s">
        <v>54</v>
      </c>
      <c r="G645" s="273" t="s">
        <v>91</v>
      </c>
      <c r="H645" s="273" t="s">
        <v>65</v>
      </c>
      <c r="I645" s="274" t="s">
        <v>107</v>
      </c>
      <c r="J645" s="42"/>
      <c r="K645" s="275">
        <f>K646</f>
        <v>35.6</v>
      </c>
      <c r="L645" s="275">
        <f>L646</f>
        <v>0</v>
      </c>
      <c r="M645" s="275">
        <f>M646</f>
        <v>35.6</v>
      </c>
    </row>
    <row r="646" spans="1:13" s="152" customFormat="1" ht="42" customHeight="1" x14ac:dyDescent="0.35">
      <c r="A646" s="151"/>
      <c r="B646" s="31" t="s">
        <v>57</v>
      </c>
      <c r="C646" s="286" t="s">
        <v>293</v>
      </c>
      <c r="D646" s="42" t="s">
        <v>39</v>
      </c>
      <c r="E646" s="42" t="s">
        <v>73</v>
      </c>
      <c r="F646" s="272" t="s">
        <v>54</v>
      </c>
      <c r="G646" s="273" t="s">
        <v>91</v>
      </c>
      <c r="H646" s="273" t="s">
        <v>65</v>
      </c>
      <c r="I646" s="274" t="s">
        <v>107</v>
      </c>
      <c r="J646" s="42" t="s">
        <v>58</v>
      </c>
      <c r="K646" s="275">
        <v>35.6</v>
      </c>
      <c r="L646" s="33">
        <f>M646-K646</f>
        <v>0</v>
      </c>
      <c r="M646" s="275">
        <v>35.6</v>
      </c>
    </row>
    <row r="647" spans="1:13" s="14" customFormat="1" ht="18.75" customHeight="1" x14ac:dyDescent="0.35">
      <c r="A647" s="18"/>
      <c r="B647" s="37" t="s">
        <v>326</v>
      </c>
      <c r="C647" s="32" t="s">
        <v>293</v>
      </c>
      <c r="D647" s="17" t="s">
        <v>69</v>
      </c>
      <c r="E647" s="17"/>
      <c r="F647" s="659"/>
      <c r="G647" s="660"/>
      <c r="H647" s="660"/>
      <c r="I647" s="661"/>
      <c r="J647" s="17"/>
      <c r="K647" s="33">
        <f>K648+K681+K687</f>
        <v>45819.1</v>
      </c>
      <c r="L647" s="33">
        <f>L648+L681+L687</f>
        <v>4966.3999999999996</v>
      </c>
      <c r="M647" s="33">
        <f>M648+M681+M687</f>
        <v>50785.499999999993</v>
      </c>
    </row>
    <row r="648" spans="1:13" s="152" customFormat="1" ht="18.75" customHeight="1" x14ac:dyDescent="0.35">
      <c r="A648" s="18"/>
      <c r="B648" s="37" t="s">
        <v>369</v>
      </c>
      <c r="C648" s="32" t="s">
        <v>293</v>
      </c>
      <c r="D648" s="17" t="s">
        <v>69</v>
      </c>
      <c r="E648" s="17" t="s">
        <v>39</v>
      </c>
      <c r="F648" s="659"/>
      <c r="G648" s="660"/>
      <c r="H648" s="660"/>
      <c r="I648" s="661"/>
      <c r="J648" s="17"/>
      <c r="K648" s="33">
        <f>K649</f>
        <v>42331.3</v>
      </c>
      <c r="L648" s="33">
        <f>L649</f>
        <v>4966.3999999999996</v>
      </c>
      <c r="M648" s="33">
        <f>M649</f>
        <v>47297.7</v>
      </c>
    </row>
    <row r="649" spans="1:13" s="152" customFormat="1" ht="57" customHeight="1" x14ac:dyDescent="0.35">
      <c r="A649" s="18"/>
      <c r="B649" s="31" t="s">
        <v>219</v>
      </c>
      <c r="C649" s="32" t="s">
        <v>293</v>
      </c>
      <c r="D649" s="17" t="s">
        <v>69</v>
      </c>
      <c r="E649" s="17" t="s">
        <v>39</v>
      </c>
      <c r="F649" s="659" t="s">
        <v>54</v>
      </c>
      <c r="G649" s="660" t="s">
        <v>44</v>
      </c>
      <c r="H649" s="660" t="s">
        <v>45</v>
      </c>
      <c r="I649" s="661" t="s">
        <v>46</v>
      </c>
      <c r="J649" s="17"/>
      <c r="K649" s="33">
        <f>K650+K654+K677</f>
        <v>42331.3</v>
      </c>
      <c r="L649" s="33">
        <f>L650+L654+L677</f>
        <v>4966.3999999999996</v>
      </c>
      <c r="M649" s="33">
        <f>M650+M654+M677</f>
        <v>47297.7</v>
      </c>
    </row>
    <row r="650" spans="1:13" s="152" customFormat="1" ht="37.5" customHeight="1" x14ac:dyDescent="0.35">
      <c r="A650" s="18"/>
      <c r="B650" s="37" t="s">
        <v>220</v>
      </c>
      <c r="C650" s="32" t="s">
        <v>293</v>
      </c>
      <c r="D650" s="17" t="s">
        <v>69</v>
      </c>
      <c r="E650" s="17" t="s">
        <v>39</v>
      </c>
      <c r="F650" s="659" t="s">
        <v>54</v>
      </c>
      <c r="G650" s="660" t="s">
        <v>47</v>
      </c>
      <c r="H650" s="660" t="s">
        <v>45</v>
      </c>
      <c r="I650" s="661" t="s">
        <v>46</v>
      </c>
      <c r="J650" s="17"/>
      <c r="K650" s="33">
        <f>K651</f>
        <v>171</v>
      </c>
      <c r="L650" s="33">
        <f>L651</f>
        <v>0</v>
      </c>
      <c r="M650" s="33">
        <f>M651</f>
        <v>171</v>
      </c>
    </row>
    <row r="651" spans="1:13" s="152" customFormat="1" ht="18.75" customHeight="1" x14ac:dyDescent="0.35">
      <c r="A651" s="18"/>
      <c r="B651" s="31" t="s">
        <v>279</v>
      </c>
      <c r="C651" s="32" t="s">
        <v>293</v>
      </c>
      <c r="D651" s="17" t="s">
        <v>69</v>
      </c>
      <c r="E651" s="17" t="s">
        <v>39</v>
      </c>
      <c r="F651" s="659" t="s">
        <v>54</v>
      </c>
      <c r="G651" s="660" t="s">
        <v>47</v>
      </c>
      <c r="H651" s="660" t="s">
        <v>39</v>
      </c>
      <c r="I651" s="661" t="s">
        <v>46</v>
      </c>
      <c r="J651" s="17"/>
      <c r="K651" s="33">
        <f t="shared" ref="K651:M652" si="112">K652</f>
        <v>171</v>
      </c>
      <c r="L651" s="33">
        <f t="shared" si="112"/>
        <v>0</v>
      </c>
      <c r="M651" s="33">
        <f t="shared" si="112"/>
        <v>171</v>
      </c>
    </row>
    <row r="652" spans="1:13" s="152" customFormat="1" ht="36" x14ac:dyDescent="0.35">
      <c r="A652" s="18"/>
      <c r="B652" s="31" t="s">
        <v>280</v>
      </c>
      <c r="C652" s="32" t="s">
        <v>293</v>
      </c>
      <c r="D652" s="17" t="s">
        <v>69</v>
      </c>
      <c r="E652" s="17" t="s">
        <v>39</v>
      </c>
      <c r="F652" s="659" t="s">
        <v>54</v>
      </c>
      <c r="G652" s="660" t="s">
        <v>47</v>
      </c>
      <c r="H652" s="660" t="s">
        <v>39</v>
      </c>
      <c r="I652" s="661" t="s">
        <v>281</v>
      </c>
      <c r="J652" s="17"/>
      <c r="K652" s="33">
        <f t="shared" si="112"/>
        <v>171</v>
      </c>
      <c r="L652" s="33">
        <f t="shared" si="112"/>
        <v>0</v>
      </c>
      <c r="M652" s="33">
        <f t="shared" si="112"/>
        <v>171</v>
      </c>
    </row>
    <row r="653" spans="1:13" s="152" customFormat="1" ht="37.5" customHeight="1" x14ac:dyDescent="0.35">
      <c r="A653" s="18"/>
      <c r="B653" s="31" t="s">
        <v>122</v>
      </c>
      <c r="C653" s="32" t="s">
        <v>293</v>
      </c>
      <c r="D653" s="17" t="s">
        <v>69</v>
      </c>
      <c r="E653" s="17" t="s">
        <v>39</v>
      </c>
      <c r="F653" s="659" t="s">
        <v>54</v>
      </c>
      <c r="G653" s="660" t="s">
        <v>47</v>
      </c>
      <c r="H653" s="660" t="s">
        <v>39</v>
      </c>
      <c r="I653" s="661" t="s">
        <v>281</v>
      </c>
      <c r="J653" s="17" t="s">
        <v>123</v>
      </c>
      <c r="K653" s="33">
        <v>171</v>
      </c>
      <c r="L653" s="33">
        <f>M653-K653</f>
        <v>0</v>
      </c>
      <c r="M653" s="33">
        <v>171</v>
      </c>
    </row>
    <row r="654" spans="1:13" s="14" customFormat="1" ht="37.5" customHeight="1" x14ac:dyDescent="0.35">
      <c r="A654" s="18"/>
      <c r="B654" s="31" t="s">
        <v>222</v>
      </c>
      <c r="C654" s="32" t="s">
        <v>293</v>
      </c>
      <c r="D654" s="17" t="s">
        <v>69</v>
      </c>
      <c r="E654" s="17" t="s">
        <v>39</v>
      </c>
      <c r="F654" s="659" t="s">
        <v>54</v>
      </c>
      <c r="G654" s="660" t="s">
        <v>91</v>
      </c>
      <c r="H654" s="660" t="s">
        <v>45</v>
      </c>
      <c r="I654" s="661" t="s">
        <v>46</v>
      </c>
      <c r="J654" s="17"/>
      <c r="K654" s="33">
        <f>K655+K670</f>
        <v>41086</v>
      </c>
      <c r="L654" s="33">
        <f>L655+L670</f>
        <v>4966.3999999999996</v>
      </c>
      <c r="M654" s="33">
        <f>M655+M670</f>
        <v>46052.399999999994</v>
      </c>
    </row>
    <row r="655" spans="1:13" s="152" customFormat="1" ht="34.200000000000003" customHeight="1" x14ac:dyDescent="0.35">
      <c r="A655" s="18"/>
      <c r="B655" s="31" t="s">
        <v>370</v>
      </c>
      <c r="C655" s="32" t="s">
        <v>293</v>
      </c>
      <c r="D655" s="17" t="s">
        <v>69</v>
      </c>
      <c r="E655" s="17" t="s">
        <v>39</v>
      </c>
      <c r="F655" s="659" t="s">
        <v>54</v>
      </c>
      <c r="G655" s="660" t="s">
        <v>91</v>
      </c>
      <c r="H655" s="660" t="s">
        <v>41</v>
      </c>
      <c r="I655" s="661" t="s">
        <v>46</v>
      </c>
      <c r="J655" s="17"/>
      <c r="K655" s="33">
        <f>K656+K660+K666+K662+K664</f>
        <v>37075.599999999999</v>
      </c>
      <c r="L655" s="33">
        <f>L656+L660+L666+L662+L664+L668</f>
        <v>5215.7999999999993</v>
      </c>
      <c r="M655" s="33">
        <f>M656+M660+M666+M662+M664+M668</f>
        <v>42291.399999999994</v>
      </c>
    </row>
    <row r="656" spans="1:13" s="152" customFormat="1" ht="39" customHeight="1" x14ac:dyDescent="0.35">
      <c r="A656" s="18"/>
      <c r="B656" s="34" t="s">
        <v>540</v>
      </c>
      <c r="C656" s="32" t="s">
        <v>293</v>
      </c>
      <c r="D656" s="17" t="s">
        <v>69</v>
      </c>
      <c r="E656" s="17" t="s">
        <v>39</v>
      </c>
      <c r="F656" s="659" t="s">
        <v>54</v>
      </c>
      <c r="G656" s="660" t="s">
        <v>91</v>
      </c>
      <c r="H656" s="660" t="s">
        <v>41</v>
      </c>
      <c r="I656" s="661" t="s">
        <v>93</v>
      </c>
      <c r="J656" s="17"/>
      <c r="K656" s="33">
        <f>K657+K658+K659</f>
        <v>23966.3</v>
      </c>
      <c r="L656" s="33">
        <f>L657+L658+L659</f>
        <v>95.699999999998909</v>
      </c>
      <c r="M656" s="33">
        <f>M657+M658+M659</f>
        <v>24061.999999999996</v>
      </c>
    </row>
    <row r="657" spans="1:13" s="152" customFormat="1" ht="112.5" customHeight="1" x14ac:dyDescent="0.35">
      <c r="A657" s="18"/>
      <c r="B657" s="31" t="s">
        <v>51</v>
      </c>
      <c r="C657" s="32" t="s">
        <v>293</v>
      </c>
      <c r="D657" s="17" t="s">
        <v>69</v>
      </c>
      <c r="E657" s="17" t="s">
        <v>39</v>
      </c>
      <c r="F657" s="659" t="s">
        <v>54</v>
      </c>
      <c r="G657" s="660" t="s">
        <v>91</v>
      </c>
      <c r="H657" s="660" t="s">
        <v>41</v>
      </c>
      <c r="I657" s="661" t="s">
        <v>93</v>
      </c>
      <c r="J657" s="17" t="s">
        <v>52</v>
      </c>
      <c r="K657" s="33">
        <f>17974.3+25.6+213.9</f>
        <v>18213.8</v>
      </c>
      <c r="L657" s="33">
        <f>M657-K657</f>
        <v>225.79999999999927</v>
      </c>
      <c r="M657" s="33">
        <f>17974.3+25.6+213.9+225.8</f>
        <v>18439.599999999999</v>
      </c>
    </row>
    <row r="658" spans="1:13" s="14" customFormat="1" ht="42" customHeight="1" x14ac:dyDescent="0.35">
      <c r="A658" s="18"/>
      <c r="B658" s="31" t="s">
        <v>57</v>
      </c>
      <c r="C658" s="32" t="s">
        <v>293</v>
      </c>
      <c r="D658" s="17" t="s">
        <v>69</v>
      </c>
      <c r="E658" s="17" t="s">
        <v>39</v>
      </c>
      <c r="F658" s="659" t="s">
        <v>54</v>
      </c>
      <c r="G658" s="660" t="s">
        <v>91</v>
      </c>
      <c r="H658" s="660" t="s">
        <v>41</v>
      </c>
      <c r="I658" s="661" t="s">
        <v>93</v>
      </c>
      <c r="J658" s="17" t="s">
        <v>58</v>
      </c>
      <c r="K658" s="33">
        <v>5686.2</v>
      </c>
      <c r="L658" s="33">
        <f>M658-K658</f>
        <v>-130.10000000000036</v>
      </c>
      <c r="M658" s="33">
        <f>5686.2-0.1-225.8+69.5+26.3</f>
        <v>5556.0999999999995</v>
      </c>
    </row>
    <row r="659" spans="1:13" s="152" customFormat="1" ht="18.75" customHeight="1" x14ac:dyDescent="0.35">
      <c r="A659" s="18"/>
      <c r="B659" s="31" t="s">
        <v>59</v>
      </c>
      <c r="C659" s="32" t="s">
        <v>293</v>
      </c>
      <c r="D659" s="17" t="s">
        <v>69</v>
      </c>
      <c r="E659" s="17" t="s">
        <v>39</v>
      </c>
      <c r="F659" s="659" t="s">
        <v>54</v>
      </c>
      <c r="G659" s="660" t="s">
        <v>91</v>
      </c>
      <c r="H659" s="660" t="s">
        <v>41</v>
      </c>
      <c r="I659" s="661" t="s">
        <v>93</v>
      </c>
      <c r="J659" s="17" t="s">
        <v>60</v>
      </c>
      <c r="K659" s="33">
        <v>66.3</v>
      </c>
      <c r="L659" s="33">
        <f>M659-K659</f>
        <v>0</v>
      </c>
      <c r="M659" s="33">
        <v>66.3</v>
      </c>
    </row>
    <row r="660" spans="1:13" s="152" customFormat="1" ht="22.5" customHeight="1" x14ac:dyDescent="0.35">
      <c r="A660" s="18"/>
      <c r="B660" s="31" t="s">
        <v>541</v>
      </c>
      <c r="C660" s="32" t="s">
        <v>293</v>
      </c>
      <c r="D660" s="17" t="s">
        <v>69</v>
      </c>
      <c r="E660" s="17" t="s">
        <v>39</v>
      </c>
      <c r="F660" s="659" t="s">
        <v>54</v>
      </c>
      <c r="G660" s="660" t="s">
        <v>91</v>
      </c>
      <c r="H660" s="660" t="s">
        <v>41</v>
      </c>
      <c r="I660" s="661" t="s">
        <v>399</v>
      </c>
      <c r="J660" s="17"/>
      <c r="K660" s="33">
        <f>K661</f>
        <v>5058.8</v>
      </c>
      <c r="L660" s="33">
        <f>L661</f>
        <v>0</v>
      </c>
      <c r="M660" s="33">
        <f>M661</f>
        <v>5058.8</v>
      </c>
    </row>
    <row r="661" spans="1:13" s="152" customFormat="1" ht="42" customHeight="1" x14ac:dyDescent="0.35">
      <c r="A661" s="18"/>
      <c r="B661" s="31" t="s">
        <v>57</v>
      </c>
      <c r="C661" s="32" t="s">
        <v>293</v>
      </c>
      <c r="D661" s="17" t="s">
        <v>69</v>
      </c>
      <c r="E661" s="17" t="s">
        <v>39</v>
      </c>
      <c r="F661" s="659" t="s">
        <v>54</v>
      </c>
      <c r="G661" s="660" t="s">
        <v>91</v>
      </c>
      <c r="H661" s="660" t="s">
        <v>41</v>
      </c>
      <c r="I661" s="661" t="s">
        <v>399</v>
      </c>
      <c r="J661" s="17" t="s">
        <v>58</v>
      </c>
      <c r="K661" s="33">
        <v>5058.8</v>
      </c>
      <c r="L661" s="33">
        <f>M661-K661</f>
        <v>0</v>
      </c>
      <c r="M661" s="33">
        <v>5058.8</v>
      </c>
    </row>
    <row r="662" spans="1:13" s="152" customFormat="1" ht="56.25" customHeight="1" x14ac:dyDescent="0.35">
      <c r="A662" s="18"/>
      <c r="B662" s="31" t="s">
        <v>221</v>
      </c>
      <c r="C662" s="32" t="s">
        <v>293</v>
      </c>
      <c r="D662" s="17" t="s">
        <v>69</v>
      </c>
      <c r="E662" s="17" t="s">
        <v>39</v>
      </c>
      <c r="F662" s="659" t="s">
        <v>54</v>
      </c>
      <c r="G662" s="660" t="s">
        <v>91</v>
      </c>
      <c r="H662" s="660" t="s">
        <v>41</v>
      </c>
      <c r="I662" s="661" t="s">
        <v>295</v>
      </c>
      <c r="J662" s="17"/>
      <c r="K662" s="33">
        <f t="shared" ref="K662:M662" si="113">K663</f>
        <v>6801.2</v>
      </c>
      <c r="L662" s="33">
        <f t="shared" si="113"/>
        <v>0</v>
      </c>
      <c r="M662" s="33">
        <f t="shared" si="113"/>
        <v>6801.2</v>
      </c>
    </row>
    <row r="663" spans="1:13" s="152" customFormat="1" ht="39.6" customHeight="1" x14ac:dyDescent="0.35">
      <c r="A663" s="18"/>
      <c r="B663" s="31" t="s">
        <v>57</v>
      </c>
      <c r="C663" s="32" t="s">
        <v>293</v>
      </c>
      <c r="D663" s="17" t="s">
        <v>69</v>
      </c>
      <c r="E663" s="17" t="s">
        <v>39</v>
      </c>
      <c r="F663" s="659" t="s">
        <v>54</v>
      </c>
      <c r="G663" s="660" t="s">
        <v>91</v>
      </c>
      <c r="H663" s="660" t="s">
        <v>41</v>
      </c>
      <c r="I663" s="661" t="s">
        <v>295</v>
      </c>
      <c r="J663" s="17" t="s">
        <v>58</v>
      </c>
      <c r="K663" s="33">
        <f>2375.5+1356.4+1734.5-81.7+1416.5</f>
        <v>6801.2</v>
      </c>
      <c r="L663" s="33">
        <f>M663-K663</f>
        <v>0</v>
      </c>
      <c r="M663" s="33">
        <f>2375.5+1356.4+1734.5-81.7+1416.5</f>
        <v>6801.2</v>
      </c>
    </row>
    <row r="664" spans="1:13" s="152" customFormat="1" ht="181.95" customHeight="1" x14ac:dyDescent="0.35">
      <c r="A664" s="18"/>
      <c r="B664" s="31" t="s">
        <v>503</v>
      </c>
      <c r="C664" s="32" t="s">
        <v>293</v>
      </c>
      <c r="D664" s="17" t="s">
        <v>69</v>
      </c>
      <c r="E664" s="17" t="s">
        <v>39</v>
      </c>
      <c r="F664" s="659" t="s">
        <v>54</v>
      </c>
      <c r="G664" s="660" t="s">
        <v>91</v>
      </c>
      <c r="H664" s="660" t="s">
        <v>41</v>
      </c>
      <c r="I664" s="661" t="s">
        <v>451</v>
      </c>
      <c r="J664" s="17"/>
      <c r="K664" s="33">
        <f>K665</f>
        <v>250</v>
      </c>
      <c r="L664" s="33">
        <f>L665</f>
        <v>0</v>
      </c>
      <c r="M664" s="33">
        <f>M665</f>
        <v>250</v>
      </c>
    </row>
    <row r="665" spans="1:13" s="152" customFormat="1" ht="109.5" customHeight="1" x14ac:dyDescent="0.35">
      <c r="A665" s="18"/>
      <c r="B665" s="31" t="s">
        <v>51</v>
      </c>
      <c r="C665" s="32" t="s">
        <v>293</v>
      </c>
      <c r="D665" s="17" t="s">
        <v>69</v>
      </c>
      <c r="E665" s="17" t="s">
        <v>39</v>
      </c>
      <c r="F665" s="659" t="s">
        <v>54</v>
      </c>
      <c r="G665" s="660" t="s">
        <v>91</v>
      </c>
      <c r="H665" s="660" t="s">
        <v>41</v>
      </c>
      <c r="I665" s="661" t="s">
        <v>451</v>
      </c>
      <c r="J665" s="17" t="s">
        <v>52</v>
      </c>
      <c r="K665" s="33">
        <v>250</v>
      </c>
      <c r="L665" s="33">
        <f>M665-K665</f>
        <v>0</v>
      </c>
      <c r="M665" s="33">
        <v>250</v>
      </c>
    </row>
    <row r="666" spans="1:13" s="152" customFormat="1" ht="58.5" customHeight="1" x14ac:dyDescent="0.35">
      <c r="A666" s="18"/>
      <c r="B666" s="31" t="s">
        <v>506</v>
      </c>
      <c r="C666" s="32" t="s">
        <v>293</v>
      </c>
      <c r="D666" s="17" t="s">
        <v>69</v>
      </c>
      <c r="E666" s="17" t="s">
        <v>39</v>
      </c>
      <c r="F666" s="659" t="s">
        <v>54</v>
      </c>
      <c r="G666" s="660" t="s">
        <v>91</v>
      </c>
      <c r="H666" s="660" t="s">
        <v>41</v>
      </c>
      <c r="I666" s="661" t="s">
        <v>473</v>
      </c>
      <c r="J666" s="17"/>
      <c r="K666" s="33">
        <f>K667</f>
        <v>999.3</v>
      </c>
      <c r="L666" s="33">
        <f>L667</f>
        <v>0.10000000000002274</v>
      </c>
      <c r="M666" s="33">
        <f>M667</f>
        <v>999.4</v>
      </c>
    </row>
    <row r="667" spans="1:13" s="152" customFormat="1" ht="112.5" customHeight="1" x14ac:dyDescent="0.35">
      <c r="A667" s="18"/>
      <c r="B667" s="31" t="s">
        <v>51</v>
      </c>
      <c r="C667" s="32" t="s">
        <v>293</v>
      </c>
      <c r="D667" s="17" t="s">
        <v>69</v>
      </c>
      <c r="E667" s="17" t="s">
        <v>39</v>
      </c>
      <c r="F667" s="659" t="s">
        <v>54</v>
      </c>
      <c r="G667" s="660" t="s">
        <v>91</v>
      </c>
      <c r="H667" s="660" t="s">
        <v>41</v>
      </c>
      <c r="I667" s="661" t="s">
        <v>473</v>
      </c>
      <c r="J667" s="17" t="s">
        <v>52</v>
      </c>
      <c r="K667" s="33">
        <v>999.3</v>
      </c>
      <c r="L667" s="33">
        <f>M667-K667</f>
        <v>0.10000000000002274</v>
      </c>
      <c r="M667" s="33">
        <f>999.3+0.1</f>
        <v>999.4</v>
      </c>
    </row>
    <row r="668" spans="1:13" s="152" customFormat="1" ht="162" x14ac:dyDescent="0.35">
      <c r="A668" s="18"/>
      <c r="B668" s="31" t="s">
        <v>791</v>
      </c>
      <c r="C668" s="32" t="s">
        <v>293</v>
      </c>
      <c r="D668" s="17" t="s">
        <v>69</v>
      </c>
      <c r="E668" s="17" t="s">
        <v>39</v>
      </c>
      <c r="F668" s="659" t="s">
        <v>54</v>
      </c>
      <c r="G668" s="660" t="s">
        <v>91</v>
      </c>
      <c r="H668" s="660" t="s">
        <v>41</v>
      </c>
      <c r="I668" s="661" t="s">
        <v>785</v>
      </c>
      <c r="J668" s="17"/>
      <c r="K668" s="33"/>
      <c r="L668" s="33">
        <f>L669</f>
        <v>5120</v>
      </c>
      <c r="M668" s="33">
        <f>M669</f>
        <v>5120</v>
      </c>
    </row>
    <row r="669" spans="1:13" s="152" customFormat="1" ht="46.2" customHeight="1" x14ac:dyDescent="0.35">
      <c r="A669" s="18"/>
      <c r="B669" s="31" t="s">
        <v>57</v>
      </c>
      <c r="C669" s="32" t="s">
        <v>293</v>
      </c>
      <c r="D669" s="17" t="s">
        <v>69</v>
      </c>
      <c r="E669" s="17" t="s">
        <v>39</v>
      </c>
      <c r="F669" s="659" t="s">
        <v>54</v>
      </c>
      <c r="G669" s="660" t="s">
        <v>91</v>
      </c>
      <c r="H669" s="660" t="s">
        <v>41</v>
      </c>
      <c r="I669" s="661" t="s">
        <v>785</v>
      </c>
      <c r="J669" s="17" t="s">
        <v>58</v>
      </c>
      <c r="K669" s="33"/>
      <c r="L669" s="33">
        <f>M669-K669</f>
        <v>5120</v>
      </c>
      <c r="M669" s="33">
        <f>4966.4+153.6</f>
        <v>5120</v>
      </c>
    </row>
    <row r="670" spans="1:13" s="152" customFormat="1" ht="36" x14ac:dyDescent="0.35">
      <c r="A670" s="18"/>
      <c r="B670" s="31" t="s">
        <v>746</v>
      </c>
      <c r="C670" s="32" t="s">
        <v>293</v>
      </c>
      <c r="D670" s="17" t="s">
        <v>69</v>
      </c>
      <c r="E670" s="17" t="s">
        <v>39</v>
      </c>
      <c r="F670" s="659" t="s">
        <v>54</v>
      </c>
      <c r="G670" s="660" t="s">
        <v>91</v>
      </c>
      <c r="H670" s="660" t="s">
        <v>54</v>
      </c>
      <c r="I670" s="661" t="s">
        <v>46</v>
      </c>
      <c r="J670" s="17"/>
      <c r="K670" s="33">
        <f>K671+K675</f>
        <v>4010.4</v>
      </c>
      <c r="L670" s="33">
        <f t="shared" ref="L670" si="114">L671+L675</f>
        <v>-249.39999999999998</v>
      </c>
      <c r="M670" s="33">
        <f>M671+M675</f>
        <v>3761</v>
      </c>
    </row>
    <row r="671" spans="1:13" s="152" customFormat="1" ht="36" x14ac:dyDescent="0.35">
      <c r="A671" s="18"/>
      <c r="B671" s="31" t="s">
        <v>540</v>
      </c>
      <c r="C671" s="32" t="s">
        <v>293</v>
      </c>
      <c r="D671" s="17" t="s">
        <v>69</v>
      </c>
      <c r="E671" s="17" t="s">
        <v>39</v>
      </c>
      <c r="F671" s="659" t="s">
        <v>54</v>
      </c>
      <c r="G671" s="660" t="s">
        <v>91</v>
      </c>
      <c r="H671" s="660" t="s">
        <v>54</v>
      </c>
      <c r="I671" s="661" t="s">
        <v>93</v>
      </c>
      <c r="J671" s="17"/>
      <c r="K671" s="33">
        <f>K672+K673+K674</f>
        <v>3216.8</v>
      </c>
      <c r="L671" s="33">
        <f t="shared" ref="L671" si="115">L672+L673+L674</f>
        <v>-95.799999999999955</v>
      </c>
      <c r="M671" s="33">
        <f>M672+M673+M674</f>
        <v>3121</v>
      </c>
    </row>
    <row r="672" spans="1:13" s="152" customFormat="1" ht="108" x14ac:dyDescent="0.35">
      <c r="A672" s="18"/>
      <c r="B672" s="31" t="s">
        <v>51</v>
      </c>
      <c r="C672" s="32" t="s">
        <v>293</v>
      </c>
      <c r="D672" s="17" t="s">
        <v>69</v>
      </c>
      <c r="E672" s="17" t="s">
        <v>39</v>
      </c>
      <c r="F672" s="659" t="s">
        <v>54</v>
      </c>
      <c r="G672" s="660" t="s">
        <v>91</v>
      </c>
      <c r="H672" s="660" t="s">
        <v>54</v>
      </c>
      <c r="I672" s="661" t="s">
        <v>93</v>
      </c>
      <c r="J672" s="17" t="s">
        <v>52</v>
      </c>
      <c r="K672" s="33">
        <v>1779.7</v>
      </c>
      <c r="L672" s="33">
        <f t="shared" ref="L672:L674" si="116">M672-K672</f>
        <v>-95.799999999999955</v>
      </c>
      <c r="M672" s="33">
        <f>1779.7-69.5-26.3</f>
        <v>1683.9</v>
      </c>
    </row>
    <row r="673" spans="1:14" s="152" customFormat="1" ht="40.799999999999997" customHeight="1" x14ac:dyDescent="0.35">
      <c r="A673" s="18"/>
      <c r="B673" s="31" t="s">
        <v>57</v>
      </c>
      <c r="C673" s="32" t="s">
        <v>293</v>
      </c>
      <c r="D673" s="17" t="s">
        <v>69</v>
      </c>
      <c r="E673" s="17" t="s">
        <v>39</v>
      </c>
      <c r="F673" s="659" t="s">
        <v>54</v>
      </c>
      <c r="G673" s="660" t="s">
        <v>91</v>
      </c>
      <c r="H673" s="660" t="s">
        <v>54</v>
      </c>
      <c r="I673" s="661" t="s">
        <v>93</v>
      </c>
      <c r="J673" s="17" t="s">
        <v>58</v>
      </c>
      <c r="K673" s="33">
        <v>1313.8</v>
      </c>
      <c r="L673" s="33">
        <f t="shared" si="116"/>
        <v>0</v>
      </c>
      <c r="M673" s="33">
        <v>1313.8</v>
      </c>
    </row>
    <row r="674" spans="1:14" s="152" customFormat="1" ht="18" x14ac:dyDescent="0.35">
      <c r="A674" s="18"/>
      <c r="B674" s="31" t="s">
        <v>59</v>
      </c>
      <c r="C674" s="32" t="s">
        <v>293</v>
      </c>
      <c r="D674" s="17" t="s">
        <v>69</v>
      </c>
      <c r="E674" s="17" t="s">
        <v>39</v>
      </c>
      <c r="F674" s="659" t="s">
        <v>54</v>
      </c>
      <c r="G674" s="660" t="s">
        <v>91</v>
      </c>
      <c r="H674" s="660" t="s">
        <v>54</v>
      </c>
      <c r="I674" s="661" t="s">
        <v>93</v>
      </c>
      <c r="J674" s="17" t="s">
        <v>60</v>
      </c>
      <c r="K674" s="33">
        <v>123.3</v>
      </c>
      <c r="L674" s="33">
        <f t="shared" si="116"/>
        <v>0</v>
      </c>
      <c r="M674" s="33">
        <v>123.3</v>
      </c>
    </row>
    <row r="675" spans="1:14" s="152" customFormat="1" ht="54" x14ac:dyDescent="0.35">
      <c r="A675" s="18"/>
      <c r="B675" s="31" t="s">
        <v>221</v>
      </c>
      <c r="C675" s="32" t="s">
        <v>293</v>
      </c>
      <c r="D675" s="17" t="s">
        <v>69</v>
      </c>
      <c r="E675" s="17" t="s">
        <v>39</v>
      </c>
      <c r="F675" s="659" t="s">
        <v>54</v>
      </c>
      <c r="G675" s="660" t="s">
        <v>91</v>
      </c>
      <c r="H675" s="660" t="s">
        <v>54</v>
      </c>
      <c r="I675" s="661" t="s">
        <v>295</v>
      </c>
      <c r="J675" s="17"/>
      <c r="K675" s="33">
        <f>K676</f>
        <v>793.6</v>
      </c>
      <c r="L675" s="33">
        <f t="shared" ref="L675" si="117">L676</f>
        <v>-153.60000000000002</v>
      </c>
      <c r="M675" s="33">
        <f>M676</f>
        <v>640</v>
      </c>
    </row>
    <row r="676" spans="1:14" s="152" customFormat="1" ht="43.2" customHeight="1" x14ac:dyDescent="0.35">
      <c r="A676" s="18"/>
      <c r="B676" s="31" t="s">
        <v>57</v>
      </c>
      <c r="C676" s="32" t="s">
        <v>293</v>
      </c>
      <c r="D676" s="17" t="s">
        <v>69</v>
      </c>
      <c r="E676" s="17" t="s">
        <v>39</v>
      </c>
      <c r="F676" s="659" t="s">
        <v>54</v>
      </c>
      <c r="G676" s="660" t="s">
        <v>91</v>
      </c>
      <c r="H676" s="660" t="s">
        <v>54</v>
      </c>
      <c r="I676" s="661" t="s">
        <v>295</v>
      </c>
      <c r="J676" s="17" t="s">
        <v>58</v>
      </c>
      <c r="K676" s="33">
        <f>793.6</f>
        <v>793.6</v>
      </c>
      <c r="L676" s="33">
        <f>M676-K676</f>
        <v>-153.60000000000002</v>
      </c>
      <c r="M676" s="33">
        <f>793.6-153.6</f>
        <v>640</v>
      </c>
    </row>
    <row r="677" spans="1:14" s="152" customFormat="1" ht="36" x14ac:dyDescent="0.35">
      <c r="A677" s="18"/>
      <c r="B677" s="31" t="s">
        <v>345</v>
      </c>
      <c r="C677" s="32" t="s">
        <v>293</v>
      </c>
      <c r="D677" s="17" t="s">
        <v>69</v>
      </c>
      <c r="E677" s="17" t="s">
        <v>39</v>
      </c>
      <c r="F677" s="659" t="s">
        <v>54</v>
      </c>
      <c r="G677" s="660" t="s">
        <v>33</v>
      </c>
      <c r="H677" s="660" t="s">
        <v>45</v>
      </c>
      <c r="I677" s="661" t="s">
        <v>46</v>
      </c>
      <c r="J677" s="17"/>
      <c r="K677" s="33">
        <f>K678</f>
        <v>1074.3</v>
      </c>
      <c r="L677" s="33">
        <f t="shared" ref="K677:M679" si="118">L678</f>
        <v>0</v>
      </c>
      <c r="M677" s="33">
        <f>M678</f>
        <v>1074.3</v>
      </c>
    </row>
    <row r="678" spans="1:14" s="152" customFormat="1" ht="72" x14ac:dyDescent="0.35">
      <c r="A678" s="18"/>
      <c r="B678" s="31" t="s">
        <v>474</v>
      </c>
      <c r="C678" s="32" t="s">
        <v>293</v>
      </c>
      <c r="D678" s="17" t="s">
        <v>69</v>
      </c>
      <c r="E678" s="17" t="s">
        <v>39</v>
      </c>
      <c r="F678" s="659" t="s">
        <v>54</v>
      </c>
      <c r="G678" s="660" t="s">
        <v>33</v>
      </c>
      <c r="H678" s="660" t="s">
        <v>65</v>
      </c>
      <c r="I678" s="661" t="s">
        <v>46</v>
      </c>
      <c r="J678" s="17"/>
      <c r="K678" s="33">
        <f t="shared" si="118"/>
        <v>1074.3</v>
      </c>
      <c r="L678" s="33">
        <f t="shared" si="118"/>
        <v>0</v>
      </c>
      <c r="M678" s="33">
        <f t="shared" si="118"/>
        <v>1074.3</v>
      </c>
    </row>
    <row r="679" spans="1:14" s="152" customFormat="1" ht="54" x14ac:dyDescent="0.35">
      <c r="A679" s="18"/>
      <c r="B679" s="31" t="s">
        <v>221</v>
      </c>
      <c r="C679" s="32" t="s">
        <v>293</v>
      </c>
      <c r="D679" s="17" t="s">
        <v>69</v>
      </c>
      <c r="E679" s="17" t="s">
        <v>39</v>
      </c>
      <c r="F679" s="659" t="s">
        <v>54</v>
      </c>
      <c r="G679" s="660" t="s">
        <v>33</v>
      </c>
      <c r="H679" s="660" t="s">
        <v>65</v>
      </c>
      <c r="I679" s="661" t="s">
        <v>295</v>
      </c>
      <c r="J679" s="17"/>
      <c r="K679" s="33">
        <f t="shared" si="118"/>
        <v>1074.3</v>
      </c>
      <c r="L679" s="33">
        <f t="shared" si="118"/>
        <v>0</v>
      </c>
      <c r="M679" s="33">
        <f t="shared" si="118"/>
        <v>1074.3</v>
      </c>
    </row>
    <row r="680" spans="1:14" s="152" customFormat="1" ht="54" x14ac:dyDescent="0.35">
      <c r="A680" s="18"/>
      <c r="B680" s="31" t="s">
        <v>205</v>
      </c>
      <c r="C680" s="32" t="s">
        <v>293</v>
      </c>
      <c r="D680" s="17" t="s">
        <v>69</v>
      </c>
      <c r="E680" s="17" t="s">
        <v>39</v>
      </c>
      <c r="F680" s="659" t="s">
        <v>54</v>
      </c>
      <c r="G680" s="660" t="s">
        <v>33</v>
      </c>
      <c r="H680" s="660" t="s">
        <v>65</v>
      </c>
      <c r="I680" s="661" t="s">
        <v>295</v>
      </c>
      <c r="J680" s="17" t="s">
        <v>206</v>
      </c>
      <c r="K680" s="33">
        <f>992.6+81.7</f>
        <v>1074.3</v>
      </c>
      <c r="L680" s="33">
        <f>M680-K680</f>
        <v>0</v>
      </c>
      <c r="M680" s="33">
        <f>992.6+81.7</f>
        <v>1074.3</v>
      </c>
    </row>
    <row r="681" spans="1:14" s="14" customFormat="1" ht="18.75" customHeight="1" x14ac:dyDescent="0.35">
      <c r="A681" s="18"/>
      <c r="B681" s="37" t="s">
        <v>296</v>
      </c>
      <c r="C681" s="32" t="s">
        <v>293</v>
      </c>
      <c r="D681" s="17" t="s">
        <v>69</v>
      </c>
      <c r="E681" s="17" t="s">
        <v>41</v>
      </c>
      <c r="F681" s="659"/>
      <c r="G681" s="660"/>
      <c r="H681" s="660"/>
      <c r="I681" s="661"/>
      <c r="J681" s="17"/>
      <c r="K681" s="33">
        <f t="shared" ref="K681:M681" si="119">K682</f>
        <v>629.70000000000005</v>
      </c>
      <c r="L681" s="33">
        <f t="shared" si="119"/>
        <v>0</v>
      </c>
      <c r="M681" s="33">
        <f t="shared" si="119"/>
        <v>629.70000000000005</v>
      </c>
      <c r="N681" s="200"/>
    </row>
    <row r="682" spans="1:14" s="14" customFormat="1" ht="56.25" customHeight="1" x14ac:dyDescent="0.35">
      <c r="A682" s="18"/>
      <c r="B682" s="31" t="s">
        <v>219</v>
      </c>
      <c r="C682" s="32" t="s">
        <v>293</v>
      </c>
      <c r="D682" s="17" t="s">
        <v>69</v>
      </c>
      <c r="E682" s="17" t="s">
        <v>41</v>
      </c>
      <c r="F682" s="659" t="s">
        <v>54</v>
      </c>
      <c r="G682" s="660" t="s">
        <v>44</v>
      </c>
      <c r="H682" s="660" t="s">
        <v>45</v>
      </c>
      <c r="I682" s="661" t="s">
        <v>46</v>
      </c>
      <c r="J682" s="17"/>
      <c r="K682" s="33">
        <f>K683</f>
        <v>629.70000000000005</v>
      </c>
      <c r="L682" s="33">
        <f>L683</f>
        <v>0</v>
      </c>
      <c r="M682" s="33">
        <f>M683</f>
        <v>629.70000000000005</v>
      </c>
    </row>
    <row r="683" spans="1:14" s="14" customFormat="1" ht="37.5" customHeight="1" x14ac:dyDescent="0.35">
      <c r="A683" s="18"/>
      <c r="B683" s="37" t="s">
        <v>220</v>
      </c>
      <c r="C683" s="32" t="s">
        <v>293</v>
      </c>
      <c r="D683" s="17" t="s">
        <v>69</v>
      </c>
      <c r="E683" s="17" t="s">
        <v>41</v>
      </c>
      <c r="F683" s="659" t="s">
        <v>54</v>
      </c>
      <c r="G683" s="660" t="s">
        <v>47</v>
      </c>
      <c r="H683" s="660" t="s">
        <v>45</v>
      </c>
      <c r="I683" s="661" t="s">
        <v>46</v>
      </c>
      <c r="J683" s="17"/>
      <c r="K683" s="33">
        <f t="shared" ref="K683:M684" si="120">K684</f>
        <v>629.70000000000005</v>
      </c>
      <c r="L683" s="33">
        <f t="shared" si="120"/>
        <v>0</v>
      </c>
      <c r="M683" s="33">
        <f t="shared" si="120"/>
        <v>629.70000000000005</v>
      </c>
      <c r="N683" s="200"/>
    </row>
    <row r="684" spans="1:14" s="14" customFormat="1" ht="56.25" customHeight="1" x14ac:dyDescent="0.35">
      <c r="A684" s="18"/>
      <c r="B684" s="31" t="s">
        <v>294</v>
      </c>
      <c r="C684" s="32" t="s">
        <v>293</v>
      </c>
      <c r="D684" s="17" t="s">
        <v>69</v>
      </c>
      <c r="E684" s="17" t="s">
        <v>41</v>
      </c>
      <c r="F684" s="659" t="s">
        <v>54</v>
      </c>
      <c r="G684" s="660" t="s">
        <v>47</v>
      </c>
      <c r="H684" s="660" t="s">
        <v>41</v>
      </c>
      <c r="I684" s="661" t="s">
        <v>46</v>
      </c>
      <c r="J684" s="17"/>
      <c r="K684" s="33">
        <f t="shared" si="120"/>
        <v>629.70000000000005</v>
      </c>
      <c r="L684" s="33">
        <f t="shared" si="120"/>
        <v>0</v>
      </c>
      <c r="M684" s="33">
        <f t="shared" si="120"/>
        <v>629.70000000000005</v>
      </c>
      <c r="N684" s="200"/>
    </row>
    <row r="685" spans="1:14" s="14" customFormat="1" ht="56.25" customHeight="1" x14ac:dyDescent="0.35">
      <c r="A685" s="18"/>
      <c r="B685" s="31" t="s">
        <v>221</v>
      </c>
      <c r="C685" s="32" t="s">
        <v>293</v>
      </c>
      <c r="D685" s="17" t="s">
        <v>69</v>
      </c>
      <c r="E685" s="17" t="s">
        <v>41</v>
      </c>
      <c r="F685" s="659" t="s">
        <v>54</v>
      </c>
      <c r="G685" s="660" t="s">
        <v>47</v>
      </c>
      <c r="H685" s="660" t="s">
        <v>41</v>
      </c>
      <c r="I685" s="661" t="s">
        <v>295</v>
      </c>
      <c r="J685" s="17"/>
      <c r="K685" s="33">
        <f>SUM(K686:K686)</f>
        <v>629.70000000000005</v>
      </c>
      <c r="L685" s="33">
        <f>SUM(L686:L686)</f>
        <v>0</v>
      </c>
      <c r="M685" s="33">
        <f>SUM(M686:M686)</f>
        <v>629.70000000000005</v>
      </c>
    </row>
    <row r="686" spans="1:14" s="14" customFormat="1" ht="40.799999999999997" customHeight="1" x14ac:dyDescent="0.35">
      <c r="A686" s="18"/>
      <c r="B686" s="31" t="s">
        <v>57</v>
      </c>
      <c r="C686" s="32" t="s">
        <v>293</v>
      </c>
      <c r="D686" s="17" t="s">
        <v>69</v>
      </c>
      <c r="E686" s="17" t="s">
        <v>41</v>
      </c>
      <c r="F686" s="659" t="s">
        <v>54</v>
      </c>
      <c r="G686" s="660" t="s">
        <v>47</v>
      </c>
      <c r="H686" s="660" t="s">
        <v>41</v>
      </c>
      <c r="I686" s="661" t="s">
        <v>295</v>
      </c>
      <c r="J686" s="17" t="s">
        <v>58</v>
      </c>
      <c r="K686" s="33">
        <f>68+561.7</f>
        <v>629.70000000000005</v>
      </c>
      <c r="L686" s="33">
        <f>M686-K686</f>
        <v>0</v>
      </c>
      <c r="M686" s="33">
        <f>68+561.7</f>
        <v>629.70000000000005</v>
      </c>
      <c r="N686" s="200"/>
    </row>
    <row r="687" spans="1:14" s="14" customFormat="1" ht="37.5" customHeight="1" x14ac:dyDescent="0.35">
      <c r="A687" s="18"/>
      <c r="B687" s="37" t="s">
        <v>201</v>
      </c>
      <c r="C687" s="32" t="s">
        <v>293</v>
      </c>
      <c r="D687" s="17" t="s">
        <v>69</v>
      </c>
      <c r="E687" s="17" t="s">
        <v>67</v>
      </c>
      <c r="F687" s="659"/>
      <c r="G687" s="660"/>
      <c r="H687" s="660"/>
      <c r="I687" s="661"/>
      <c r="J687" s="17"/>
      <c r="K687" s="33">
        <f t="shared" ref="K687:M690" si="121">K688</f>
        <v>2858.1</v>
      </c>
      <c r="L687" s="33">
        <f t="shared" si="121"/>
        <v>0</v>
      </c>
      <c r="M687" s="33">
        <f t="shared" si="121"/>
        <v>2858.1</v>
      </c>
      <c r="N687" s="200"/>
    </row>
    <row r="688" spans="1:14" s="14" customFormat="1" ht="61.5" customHeight="1" x14ac:dyDescent="0.35">
      <c r="A688" s="18"/>
      <c r="B688" s="31" t="s">
        <v>219</v>
      </c>
      <c r="C688" s="32" t="s">
        <v>293</v>
      </c>
      <c r="D688" s="17" t="s">
        <v>69</v>
      </c>
      <c r="E688" s="17" t="s">
        <v>67</v>
      </c>
      <c r="F688" s="659" t="s">
        <v>54</v>
      </c>
      <c r="G688" s="660" t="s">
        <v>44</v>
      </c>
      <c r="H688" s="660" t="s">
        <v>45</v>
      </c>
      <c r="I688" s="661" t="s">
        <v>46</v>
      </c>
      <c r="J688" s="17"/>
      <c r="K688" s="33">
        <f t="shared" si="121"/>
        <v>2858.1</v>
      </c>
      <c r="L688" s="33">
        <f t="shared" si="121"/>
        <v>0</v>
      </c>
      <c r="M688" s="33">
        <f t="shared" si="121"/>
        <v>2858.1</v>
      </c>
      <c r="N688" s="200"/>
    </row>
    <row r="689" spans="1:14" s="14" customFormat="1" ht="37.5" customHeight="1" x14ac:dyDescent="0.35">
      <c r="A689" s="18"/>
      <c r="B689" s="35" t="s">
        <v>222</v>
      </c>
      <c r="C689" s="32" t="s">
        <v>293</v>
      </c>
      <c r="D689" s="17" t="s">
        <v>69</v>
      </c>
      <c r="E689" s="17" t="s">
        <v>67</v>
      </c>
      <c r="F689" s="659" t="s">
        <v>54</v>
      </c>
      <c r="G689" s="660" t="s">
        <v>91</v>
      </c>
      <c r="H689" s="660" t="s">
        <v>45</v>
      </c>
      <c r="I689" s="661" t="s">
        <v>46</v>
      </c>
      <c r="J689" s="17"/>
      <c r="K689" s="33">
        <f t="shared" si="121"/>
        <v>2858.1</v>
      </c>
      <c r="L689" s="33">
        <f t="shared" si="121"/>
        <v>0</v>
      </c>
      <c r="M689" s="33">
        <f t="shared" si="121"/>
        <v>2858.1</v>
      </c>
      <c r="N689" s="200"/>
    </row>
    <row r="690" spans="1:14" s="14" customFormat="1" ht="37.5" customHeight="1" x14ac:dyDescent="0.35">
      <c r="A690" s="18"/>
      <c r="B690" s="31" t="s">
        <v>284</v>
      </c>
      <c r="C690" s="32" t="s">
        <v>293</v>
      </c>
      <c r="D690" s="17" t="s">
        <v>69</v>
      </c>
      <c r="E690" s="17" t="s">
        <v>67</v>
      </c>
      <c r="F690" s="659" t="s">
        <v>54</v>
      </c>
      <c r="G690" s="660" t="s">
        <v>91</v>
      </c>
      <c r="H690" s="660" t="s">
        <v>39</v>
      </c>
      <c r="I690" s="661" t="s">
        <v>46</v>
      </c>
      <c r="J690" s="17"/>
      <c r="K690" s="33">
        <f t="shared" si="121"/>
        <v>2858.1</v>
      </c>
      <c r="L690" s="33">
        <f t="shared" si="121"/>
        <v>0</v>
      </c>
      <c r="M690" s="33">
        <f t="shared" si="121"/>
        <v>2858.1</v>
      </c>
      <c r="N690" s="200"/>
    </row>
    <row r="691" spans="1:14" s="14" customFormat="1" ht="37.5" customHeight="1" x14ac:dyDescent="0.35">
      <c r="A691" s="18"/>
      <c r="B691" s="31" t="s">
        <v>49</v>
      </c>
      <c r="C691" s="32" t="s">
        <v>293</v>
      </c>
      <c r="D691" s="17" t="s">
        <v>69</v>
      </c>
      <c r="E691" s="17" t="s">
        <v>67</v>
      </c>
      <c r="F691" s="659" t="s">
        <v>54</v>
      </c>
      <c r="G691" s="660" t="s">
        <v>91</v>
      </c>
      <c r="H691" s="660" t="s">
        <v>39</v>
      </c>
      <c r="I691" s="661" t="s">
        <v>50</v>
      </c>
      <c r="J691" s="17"/>
      <c r="K691" s="33">
        <f>K692+K693+K694</f>
        <v>2858.1</v>
      </c>
      <c r="L691" s="33">
        <f>L692+L693+L694</f>
        <v>0</v>
      </c>
      <c r="M691" s="33">
        <f>M692+M693+M694</f>
        <v>2858.1</v>
      </c>
      <c r="N691" s="200"/>
    </row>
    <row r="692" spans="1:14" s="14" customFormat="1" ht="112.5" customHeight="1" x14ac:dyDescent="0.35">
      <c r="A692" s="18"/>
      <c r="B692" s="31" t="s">
        <v>51</v>
      </c>
      <c r="C692" s="32" t="s">
        <v>293</v>
      </c>
      <c r="D692" s="17" t="s">
        <v>69</v>
      </c>
      <c r="E692" s="17" t="s">
        <v>67</v>
      </c>
      <c r="F692" s="659" t="s">
        <v>54</v>
      </c>
      <c r="G692" s="660" t="s">
        <v>91</v>
      </c>
      <c r="H692" s="660" t="s">
        <v>39</v>
      </c>
      <c r="I692" s="661" t="s">
        <v>50</v>
      </c>
      <c r="J692" s="17" t="s">
        <v>52</v>
      </c>
      <c r="K692" s="33">
        <f>2371.8+427.1</f>
        <v>2798.9</v>
      </c>
      <c r="L692" s="33">
        <f>M692-K692</f>
        <v>0</v>
      </c>
      <c r="M692" s="33">
        <f>2371.8+427.1</f>
        <v>2798.9</v>
      </c>
      <c r="N692" s="200"/>
    </row>
    <row r="693" spans="1:14" s="14" customFormat="1" ht="40.799999999999997" customHeight="1" x14ac:dyDescent="0.35">
      <c r="A693" s="18"/>
      <c r="B693" s="31" t="s">
        <v>57</v>
      </c>
      <c r="C693" s="32" t="s">
        <v>293</v>
      </c>
      <c r="D693" s="17" t="s">
        <v>69</v>
      </c>
      <c r="E693" s="17" t="s">
        <v>67</v>
      </c>
      <c r="F693" s="659" t="s">
        <v>54</v>
      </c>
      <c r="G693" s="660" t="s">
        <v>91</v>
      </c>
      <c r="H693" s="660" t="s">
        <v>39</v>
      </c>
      <c r="I693" s="661" t="s">
        <v>50</v>
      </c>
      <c r="J693" s="17" t="s">
        <v>58</v>
      </c>
      <c r="K693" s="33">
        <v>57.2</v>
      </c>
      <c r="L693" s="33">
        <f>M693-K693</f>
        <v>0</v>
      </c>
      <c r="M693" s="33">
        <v>57.2</v>
      </c>
      <c r="N693" s="200"/>
    </row>
    <row r="694" spans="1:14" s="14" customFormat="1" ht="18.75" customHeight="1" x14ac:dyDescent="0.35">
      <c r="A694" s="18"/>
      <c r="B694" s="31" t="s">
        <v>59</v>
      </c>
      <c r="C694" s="32" t="s">
        <v>293</v>
      </c>
      <c r="D694" s="17" t="s">
        <v>69</v>
      </c>
      <c r="E694" s="17" t="s">
        <v>67</v>
      </c>
      <c r="F694" s="659" t="s">
        <v>54</v>
      </c>
      <c r="G694" s="660" t="s">
        <v>91</v>
      </c>
      <c r="H694" s="660" t="s">
        <v>39</v>
      </c>
      <c r="I694" s="661" t="s">
        <v>50</v>
      </c>
      <c r="J694" s="17" t="s">
        <v>60</v>
      </c>
      <c r="K694" s="33">
        <v>2</v>
      </c>
      <c r="L694" s="33">
        <f>M694-K694</f>
        <v>0</v>
      </c>
      <c r="M694" s="33">
        <v>2</v>
      </c>
      <c r="N694" s="200"/>
    </row>
    <row r="695" spans="1:14" s="14" customFormat="1" ht="18.75" customHeight="1" x14ac:dyDescent="0.35">
      <c r="A695" s="18"/>
      <c r="B695" s="31"/>
      <c r="C695" s="32"/>
      <c r="D695" s="17"/>
      <c r="E695" s="17"/>
      <c r="F695" s="659"/>
      <c r="G695" s="660"/>
      <c r="H695" s="660"/>
      <c r="I695" s="661"/>
      <c r="J695" s="17"/>
      <c r="K695" s="33"/>
      <c r="L695" s="33"/>
      <c r="M695" s="33"/>
      <c r="N695" s="200"/>
    </row>
    <row r="696" spans="1:14" s="152" customFormat="1" ht="56.25" customHeight="1" x14ac:dyDescent="0.3">
      <c r="A696" s="151">
        <v>8</v>
      </c>
      <c r="B696" s="25" t="s">
        <v>11</v>
      </c>
      <c r="C696" s="26" t="s">
        <v>289</v>
      </c>
      <c r="D696" s="27"/>
      <c r="E696" s="27"/>
      <c r="F696" s="28"/>
      <c r="G696" s="29"/>
      <c r="H696" s="29"/>
      <c r="I696" s="30"/>
      <c r="J696" s="27"/>
      <c r="K696" s="47">
        <f>K710+K697</f>
        <v>7545.8</v>
      </c>
      <c r="L696" s="47">
        <f>L710+L697</f>
        <v>0</v>
      </c>
      <c r="M696" s="47">
        <f>M710+M697</f>
        <v>7545.8</v>
      </c>
    </row>
    <row r="697" spans="1:14" s="152" customFormat="1" ht="18.75" customHeight="1" x14ac:dyDescent="0.35">
      <c r="A697" s="151"/>
      <c r="B697" s="31" t="s">
        <v>38</v>
      </c>
      <c r="C697" s="32" t="s">
        <v>289</v>
      </c>
      <c r="D697" s="17" t="s">
        <v>39</v>
      </c>
      <c r="E697" s="17"/>
      <c r="F697" s="659"/>
      <c r="G697" s="660"/>
      <c r="H697" s="660"/>
      <c r="I697" s="661"/>
      <c r="J697" s="17"/>
      <c r="K697" s="275">
        <f t="shared" ref="K697:M699" si="122">K698</f>
        <v>122.7</v>
      </c>
      <c r="L697" s="275">
        <f t="shared" si="122"/>
        <v>0</v>
      </c>
      <c r="M697" s="275">
        <f t="shared" si="122"/>
        <v>122.7</v>
      </c>
    </row>
    <row r="698" spans="1:14" s="152" customFormat="1" ht="21.75" customHeight="1" x14ac:dyDescent="0.35">
      <c r="A698" s="151"/>
      <c r="B698" s="31" t="s">
        <v>72</v>
      </c>
      <c r="C698" s="32" t="s">
        <v>289</v>
      </c>
      <c r="D698" s="17" t="s">
        <v>39</v>
      </c>
      <c r="E698" s="17" t="s">
        <v>73</v>
      </c>
      <c r="F698" s="659"/>
      <c r="G698" s="660"/>
      <c r="H698" s="660"/>
      <c r="I698" s="661"/>
      <c r="J698" s="17"/>
      <c r="K698" s="275">
        <f t="shared" si="122"/>
        <v>122.7</v>
      </c>
      <c r="L698" s="275">
        <f t="shared" si="122"/>
        <v>0</v>
      </c>
      <c r="M698" s="275">
        <f t="shared" si="122"/>
        <v>122.7</v>
      </c>
    </row>
    <row r="699" spans="1:14" s="152" customFormat="1" ht="58.8" customHeight="1" x14ac:dyDescent="0.35">
      <c r="A699" s="151"/>
      <c r="B699" s="31" t="s">
        <v>223</v>
      </c>
      <c r="C699" s="32" t="s">
        <v>289</v>
      </c>
      <c r="D699" s="17" t="s">
        <v>39</v>
      </c>
      <c r="E699" s="17" t="s">
        <v>73</v>
      </c>
      <c r="F699" s="659" t="s">
        <v>67</v>
      </c>
      <c r="G699" s="660" t="s">
        <v>44</v>
      </c>
      <c r="H699" s="660" t="s">
        <v>45</v>
      </c>
      <c r="I699" s="661" t="s">
        <v>46</v>
      </c>
      <c r="J699" s="17"/>
      <c r="K699" s="275">
        <f t="shared" si="122"/>
        <v>122.7</v>
      </c>
      <c r="L699" s="275">
        <f t="shared" si="122"/>
        <v>0</v>
      </c>
      <c r="M699" s="275">
        <f t="shared" si="122"/>
        <v>122.7</v>
      </c>
    </row>
    <row r="700" spans="1:14" s="152" customFormat="1" ht="37.200000000000003" customHeight="1" x14ac:dyDescent="0.35">
      <c r="A700" s="151"/>
      <c r="B700" s="31" t="s">
        <v>222</v>
      </c>
      <c r="C700" s="32" t="s">
        <v>289</v>
      </c>
      <c r="D700" s="17" t="s">
        <v>39</v>
      </c>
      <c r="E700" s="17" t="s">
        <v>73</v>
      </c>
      <c r="F700" s="659" t="s">
        <v>67</v>
      </c>
      <c r="G700" s="660" t="s">
        <v>91</v>
      </c>
      <c r="H700" s="660" t="s">
        <v>45</v>
      </c>
      <c r="I700" s="661" t="s">
        <v>46</v>
      </c>
      <c r="J700" s="17"/>
      <c r="K700" s="275">
        <f>K701+K704+K707</f>
        <v>122.7</v>
      </c>
      <c r="L700" s="275">
        <f>L701+L704+L707</f>
        <v>0</v>
      </c>
      <c r="M700" s="275">
        <f>M701+M704+M707</f>
        <v>122.7</v>
      </c>
    </row>
    <row r="701" spans="1:14" s="152" customFormat="1" ht="48" customHeight="1" x14ac:dyDescent="0.35">
      <c r="A701" s="151"/>
      <c r="B701" s="313" t="s">
        <v>360</v>
      </c>
      <c r="C701" s="32" t="s">
        <v>289</v>
      </c>
      <c r="D701" s="17" t="s">
        <v>39</v>
      </c>
      <c r="E701" s="17" t="s">
        <v>73</v>
      </c>
      <c r="F701" s="659" t="s">
        <v>67</v>
      </c>
      <c r="G701" s="660" t="s">
        <v>91</v>
      </c>
      <c r="H701" s="660" t="s">
        <v>41</v>
      </c>
      <c r="I701" s="661" t="s">
        <v>46</v>
      </c>
      <c r="J701" s="17"/>
      <c r="K701" s="275">
        <f t="shared" ref="K701:M702" si="123">K702</f>
        <v>65.400000000000006</v>
      </c>
      <c r="L701" s="275">
        <f t="shared" si="123"/>
        <v>0</v>
      </c>
      <c r="M701" s="275">
        <f t="shared" si="123"/>
        <v>65.400000000000006</v>
      </c>
    </row>
    <row r="702" spans="1:14" s="152" customFormat="1" ht="58.8" customHeight="1" x14ac:dyDescent="0.35">
      <c r="A702" s="151"/>
      <c r="B702" s="313" t="s">
        <v>361</v>
      </c>
      <c r="C702" s="32" t="s">
        <v>289</v>
      </c>
      <c r="D702" s="17" t="s">
        <v>39</v>
      </c>
      <c r="E702" s="17" t="s">
        <v>73</v>
      </c>
      <c r="F702" s="659" t="s">
        <v>67</v>
      </c>
      <c r="G702" s="660" t="s">
        <v>91</v>
      </c>
      <c r="H702" s="660" t="s">
        <v>41</v>
      </c>
      <c r="I702" s="661" t="s">
        <v>107</v>
      </c>
      <c r="J702" s="17"/>
      <c r="K702" s="275">
        <f t="shared" si="123"/>
        <v>65.400000000000006</v>
      </c>
      <c r="L702" s="275">
        <f t="shared" si="123"/>
        <v>0</v>
      </c>
      <c r="M702" s="275">
        <f t="shared" si="123"/>
        <v>65.400000000000006</v>
      </c>
    </row>
    <row r="703" spans="1:14" s="152" customFormat="1" ht="46.8" customHeight="1" x14ac:dyDescent="0.35">
      <c r="A703" s="151"/>
      <c r="B703" s="313" t="s">
        <v>57</v>
      </c>
      <c r="C703" s="32" t="s">
        <v>289</v>
      </c>
      <c r="D703" s="17" t="s">
        <v>39</v>
      </c>
      <c r="E703" s="17" t="s">
        <v>73</v>
      </c>
      <c r="F703" s="659" t="s">
        <v>67</v>
      </c>
      <c r="G703" s="660" t="s">
        <v>91</v>
      </c>
      <c r="H703" s="660" t="s">
        <v>41</v>
      </c>
      <c r="I703" s="661" t="s">
        <v>107</v>
      </c>
      <c r="J703" s="17" t="s">
        <v>58</v>
      </c>
      <c r="K703" s="275">
        <v>65.400000000000006</v>
      </c>
      <c r="L703" s="33">
        <f>M703-K703</f>
        <v>0</v>
      </c>
      <c r="M703" s="275">
        <v>65.400000000000006</v>
      </c>
    </row>
    <row r="704" spans="1:14" s="152" customFormat="1" ht="42" customHeight="1" x14ac:dyDescent="0.35">
      <c r="A704" s="151"/>
      <c r="B704" s="31" t="s">
        <v>544</v>
      </c>
      <c r="C704" s="32" t="s">
        <v>289</v>
      </c>
      <c r="D704" s="17" t="s">
        <v>39</v>
      </c>
      <c r="E704" s="17" t="s">
        <v>73</v>
      </c>
      <c r="F704" s="659" t="s">
        <v>67</v>
      </c>
      <c r="G704" s="660" t="s">
        <v>91</v>
      </c>
      <c r="H704" s="660" t="s">
        <v>65</v>
      </c>
      <c r="I704" s="661" t="s">
        <v>46</v>
      </c>
      <c r="J704" s="17"/>
      <c r="K704" s="275">
        <f t="shared" ref="K704:M705" si="124">K705</f>
        <v>14.8</v>
      </c>
      <c r="L704" s="275">
        <f t="shared" si="124"/>
        <v>0</v>
      </c>
      <c r="M704" s="275">
        <f t="shared" si="124"/>
        <v>14.8</v>
      </c>
    </row>
    <row r="705" spans="1:13" s="152" customFormat="1" ht="21" customHeight="1" x14ac:dyDescent="0.35">
      <c r="A705" s="151"/>
      <c r="B705" s="31" t="s">
        <v>542</v>
      </c>
      <c r="C705" s="32" t="s">
        <v>289</v>
      </c>
      <c r="D705" s="17" t="s">
        <v>39</v>
      </c>
      <c r="E705" s="17" t="s">
        <v>73</v>
      </c>
      <c r="F705" s="659" t="s">
        <v>67</v>
      </c>
      <c r="G705" s="660" t="s">
        <v>91</v>
      </c>
      <c r="H705" s="660" t="s">
        <v>65</v>
      </c>
      <c r="I705" s="661" t="s">
        <v>543</v>
      </c>
      <c r="J705" s="17"/>
      <c r="K705" s="275">
        <f t="shared" si="124"/>
        <v>14.8</v>
      </c>
      <c r="L705" s="275">
        <f t="shared" si="124"/>
        <v>0</v>
      </c>
      <c r="M705" s="275">
        <f t="shared" si="124"/>
        <v>14.8</v>
      </c>
    </row>
    <row r="706" spans="1:13" s="152" customFormat="1" ht="46.8" customHeight="1" x14ac:dyDescent="0.35">
      <c r="A706" s="151"/>
      <c r="B706" s="313" t="s">
        <v>57</v>
      </c>
      <c r="C706" s="32" t="s">
        <v>289</v>
      </c>
      <c r="D706" s="17" t="s">
        <v>39</v>
      </c>
      <c r="E706" s="17" t="s">
        <v>73</v>
      </c>
      <c r="F706" s="659" t="s">
        <v>67</v>
      </c>
      <c r="G706" s="660" t="s">
        <v>91</v>
      </c>
      <c r="H706" s="660" t="s">
        <v>65</v>
      </c>
      <c r="I706" s="661" t="s">
        <v>543</v>
      </c>
      <c r="J706" s="42" t="s">
        <v>58</v>
      </c>
      <c r="K706" s="275">
        <v>14.8</v>
      </c>
      <c r="L706" s="33">
        <f>M706-K706</f>
        <v>0</v>
      </c>
      <c r="M706" s="275">
        <v>14.8</v>
      </c>
    </row>
    <row r="707" spans="1:13" s="152" customFormat="1" ht="41.25" customHeight="1" x14ac:dyDescent="0.35">
      <c r="A707" s="151"/>
      <c r="B707" s="313" t="s">
        <v>554</v>
      </c>
      <c r="C707" s="32" t="s">
        <v>289</v>
      </c>
      <c r="D707" s="17" t="s">
        <v>39</v>
      </c>
      <c r="E707" s="17" t="s">
        <v>73</v>
      </c>
      <c r="F707" s="659" t="s">
        <v>67</v>
      </c>
      <c r="G707" s="660" t="s">
        <v>91</v>
      </c>
      <c r="H707" s="660" t="s">
        <v>54</v>
      </c>
      <c r="I707" s="661" t="s">
        <v>46</v>
      </c>
      <c r="J707" s="27"/>
      <c r="K707" s="275">
        <f t="shared" ref="K707:M708" si="125">K708</f>
        <v>42.5</v>
      </c>
      <c r="L707" s="275">
        <f t="shared" si="125"/>
        <v>0</v>
      </c>
      <c r="M707" s="275">
        <f t="shared" si="125"/>
        <v>42.5</v>
      </c>
    </row>
    <row r="708" spans="1:13" s="152" customFormat="1" ht="38.25" customHeight="1" x14ac:dyDescent="0.35">
      <c r="A708" s="151"/>
      <c r="B708" s="284" t="s">
        <v>129</v>
      </c>
      <c r="C708" s="32" t="s">
        <v>289</v>
      </c>
      <c r="D708" s="17" t="s">
        <v>39</v>
      </c>
      <c r="E708" s="17" t="s">
        <v>73</v>
      </c>
      <c r="F708" s="659" t="s">
        <v>67</v>
      </c>
      <c r="G708" s="660" t="s">
        <v>91</v>
      </c>
      <c r="H708" s="660" t="s">
        <v>54</v>
      </c>
      <c r="I708" s="661" t="s">
        <v>92</v>
      </c>
      <c r="J708" s="27"/>
      <c r="K708" s="275">
        <f t="shared" si="125"/>
        <v>42.5</v>
      </c>
      <c r="L708" s="275">
        <f t="shared" si="125"/>
        <v>0</v>
      </c>
      <c r="M708" s="275">
        <f t="shared" si="125"/>
        <v>42.5</v>
      </c>
    </row>
    <row r="709" spans="1:13" s="152" customFormat="1" ht="46.8" customHeight="1" x14ac:dyDescent="0.35">
      <c r="A709" s="151"/>
      <c r="B709" s="313" t="s">
        <v>57</v>
      </c>
      <c r="C709" s="32" t="s">
        <v>289</v>
      </c>
      <c r="D709" s="17" t="s">
        <v>39</v>
      </c>
      <c r="E709" s="17" t="s">
        <v>73</v>
      </c>
      <c r="F709" s="659" t="s">
        <v>67</v>
      </c>
      <c r="G709" s="660" t="s">
        <v>91</v>
      </c>
      <c r="H709" s="660" t="s">
        <v>54</v>
      </c>
      <c r="I709" s="661" t="s">
        <v>92</v>
      </c>
      <c r="J709" s="42" t="s">
        <v>58</v>
      </c>
      <c r="K709" s="275">
        <v>42.5</v>
      </c>
      <c r="L709" s="33">
        <f>M709-K709</f>
        <v>0</v>
      </c>
      <c r="M709" s="275">
        <v>42.5</v>
      </c>
    </row>
    <row r="710" spans="1:13" s="14" customFormat="1" ht="21.6" customHeight="1" x14ac:dyDescent="0.35">
      <c r="A710" s="151"/>
      <c r="B710" s="31" t="s">
        <v>181</v>
      </c>
      <c r="C710" s="32" t="s">
        <v>289</v>
      </c>
      <c r="D710" s="17" t="s">
        <v>226</v>
      </c>
      <c r="E710" s="17"/>
      <c r="F710" s="659"/>
      <c r="G710" s="660"/>
      <c r="H710" s="660"/>
      <c r="I710" s="661"/>
      <c r="J710" s="17"/>
      <c r="K710" s="33">
        <f>K711+K721</f>
        <v>7423.1</v>
      </c>
      <c r="L710" s="33">
        <f>L711+L721</f>
        <v>0</v>
      </c>
      <c r="M710" s="33">
        <f>M711+M721</f>
        <v>7423.1</v>
      </c>
    </row>
    <row r="711" spans="1:13" s="152" customFormat="1" ht="21.6" customHeight="1" x14ac:dyDescent="0.35">
      <c r="A711" s="151"/>
      <c r="B711" s="31" t="s">
        <v>359</v>
      </c>
      <c r="C711" s="32" t="s">
        <v>289</v>
      </c>
      <c r="D711" s="17" t="s">
        <v>226</v>
      </c>
      <c r="E711" s="17" t="s">
        <v>226</v>
      </c>
      <c r="F711" s="659"/>
      <c r="G711" s="660"/>
      <c r="H711" s="660"/>
      <c r="I711" s="661"/>
      <c r="J711" s="17"/>
      <c r="K711" s="33">
        <f t="shared" ref="K711:M713" si="126">K712</f>
        <v>4026.5</v>
      </c>
      <c r="L711" s="33">
        <f t="shared" si="126"/>
        <v>0</v>
      </c>
      <c r="M711" s="33">
        <f t="shared" si="126"/>
        <v>4026.5</v>
      </c>
    </row>
    <row r="712" spans="1:13" s="152" customFormat="1" ht="61.8" customHeight="1" x14ac:dyDescent="0.35">
      <c r="A712" s="151"/>
      <c r="B712" s="31" t="s">
        <v>223</v>
      </c>
      <c r="C712" s="32" t="s">
        <v>289</v>
      </c>
      <c r="D712" s="17" t="s">
        <v>226</v>
      </c>
      <c r="E712" s="17" t="s">
        <v>226</v>
      </c>
      <c r="F712" s="659" t="s">
        <v>67</v>
      </c>
      <c r="G712" s="660" t="s">
        <v>44</v>
      </c>
      <c r="H712" s="660" t="s">
        <v>45</v>
      </c>
      <c r="I712" s="661" t="s">
        <v>46</v>
      </c>
      <c r="J712" s="17"/>
      <c r="K712" s="33">
        <f t="shared" si="126"/>
        <v>4026.5</v>
      </c>
      <c r="L712" s="33">
        <f t="shared" si="126"/>
        <v>0</v>
      </c>
      <c r="M712" s="33">
        <f t="shared" si="126"/>
        <v>4026.5</v>
      </c>
    </row>
    <row r="713" spans="1:13" s="152" customFormat="1" ht="27.6" customHeight="1" x14ac:dyDescent="0.35">
      <c r="A713" s="151"/>
      <c r="B713" s="31" t="s">
        <v>224</v>
      </c>
      <c r="C713" s="32" t="s">
        <v>289</v>
      </c>
      <c r="D713" s="17" t="s">
        <v>226</v>
      </c>
      <c r="E713" s="17" t="s">
        <v>226</v>
      </c>
      <c r="F713" s="659" t="s">
        <v>67</v>
      </c>
      <c r="G713" s="660" t="s">
        <v>47</v>
      </c>
      <c r="H713" s="660" t="s">
        <v>45</v>
      </c>
      <c r="I713" s="661" t="s">
        <v>46</v>
      </c>
      <c r="J713" s="17"/>
      <c r="K713" s="33">
        <f t="shared" si="126"/>
        <v>4026.5</v>
      </c>
      <c r="L713" s="33">
        <f t="shared" si="126"/>
        <v>0</v>
      </c>
      <c r="M713" s="33">
        <f t="shared" si="126"/>
        <v>4026.5</v>
      </c>
    </row>
    <row r="714" spans="1:13" s="152" customFormat="1" ht="79.2" customHeight="1" x14ac:dyDescent="0.35">
      <c r="A714" s="151"/>
      <c r="B714" s="31" t="s">
        <v>290</v>
      </c>
      <c r="C714" s="32" t="s">
        <v>289</v>
      </c>
      <c r="D714" s="17" t="s">
        <v>226</v>
      </c>
      <c r="E714" s="17" t="s">
        <v>226</v>
      </c>
      <c r="F714" s="659" t="s">
        <v>67</v>
      </c>
      <c r="G714" s="660" t="s">
        <v>47</v>
      </c>
      <c r="H714" s="660" t="s">
        <v>39</v>
      </c>
      <c r="I714" s="661" t="s">
        <v>46</v>
      </c>
      <c r="J714" s="17"/>
      <c r="K714" s="33">
        <f>K715+K719</f>
        <v>4026.5</v>
      </c>
      <c r="L714" s="33">
        <f>L715+L719</f>
        <v>0</v>
      </c>
      <c r="M714" s="33">
        <f>M715+M719</f>
        <v>4026.5</v>
      </c>
    </row>
    <row r="715" spans="1:13" s="152" customFormat="1" ht="45.6" customHeight="1" x14ac:dyDescent="0.35">
      <c r="A715" s="151"/>
      <c r="B715" s="34" t="s">
        <v>540</v>
      </c>
      <c r="C715" s="32" t="s">
        <v>289</v>
      </c>
      <c r="D715" s="17" t="s">
        <v>226</v>
      </c>
      <c r="E715" s="17" t="s">
        <v>226</v>
      </c>
      <c r="F715" s="659" t="s">
        <v>67</v>
      </c>
      <c r="G715" s="660" t="s">
        <v>47</v>
      </c>
      <c r="H715" s="660" t="s">
        <v>39</v>
      </c>
      <c r="I715" s="661" t="s">
        <v>93</v>
      </c>
      <c r="J715" s="17"/>
      <c r="K715" s="33">
        <f>K716+K717+K718</f>
        <v>3591.2</v>
      </c>
      <c r="L715" s="33">
        <f>L716+L717+L718</f>
        <v>0</v>
      </c>
      <c r="M715" s="33">
        <f>M716+M717+M718</f>
        <v>3591.2</v>
      </c>
    </row>
    <row r="716" spans="1:13" s="152" customFormat="1" ht="115.2" customHeight="1" x14ac:dyDescent="0.35">
      <c r="A716" s="18"/>
      <c r="B716" s="31" t="s">
        <v>51</v>
      </c>
      <c r="C716" s="32" t="s">
        <v>289</v>
      </c>
      <c r="D716" s="17" t="s">
        <v>226</v>
      </c>
      <c r="E716" s="17" t="s">
        <v>226</v>
      </c>
      <c r="F716" s="659" t="s">
        <v>67</v>
      </c>
      <c r="G716" s="660" t="s">
        <v>47</v>
      </c>
      <c r="H716" s="660" t="s">
        <v>39</v>
      </c>
      <c r="I716" s="661" t="s">
        <v>93</v>
      </c>
      <c r="J716" s="17" t="s">
        <v>52</v>
      </c>
      <c r="K716" s="33">
        <v>3276.8</v>
      </c>
      <c r="L716" s="33">
        <f>M716-K716</f>
        <v>0</v>
      </c>
      <c r="M716" s="33">
        <v>3276.8</v>
      </c>
    </row>
    <row r="717" spans="1:13" s="14" customFormat="1" ht="45" customHeight="1" x14ac:dyDescent="0.35">
      <c r="A717" s="18"/>
      <c r="B717" s="31" t="s">
        <v>57</v>
      </c>
      <c r="C717" s="32" t="s">
        <v>289</v>
      </c>
      <c r="D717" s="17" t="s">
        <v>226</v>
      </c>
      <c r="E717" s="17" t="s">
        <v>226</v>
      </c>
      <c r="F717" s="659" t="s">
        <v>67</v>
      </c>
      <c r="G717" s="660" t="s">
        <v>47</v>
      </c>
      <c r="H717" s="660" t="s">
        <v>39</v>
      </c>
      <c r="I717" s="661" t="s">
        <v>93</v>
      </c>
      <c r="J717" s="17" t="s">
        <v>58</v>
      </c>
      <c r="K717" s="33">
        <v>311.7</v>
      </c>
      <c r="L717" s="33">
        <f>M717-K717</f>
        <v>0</v>
      </c>
      <c r="M717" s="33">
        <v>311.7</v>
      </c>
    </row>
    <row r="718" spans="1:13" s="14" customFormat="1" ht="18.75" customHeight="1" x14ac:dyDescent="0.35">
      <c r="A718" s="18"/>
      <c r="B718" s="31" t="s">
        <v>59</v>
      </c>
      <c r="C718" s="32" t="s">
        <v>289</v>
      </c>
      <c r="D718" s="17" t="s">
        <v>226</v>
      </c>
      <c r="E718" s="17" t="s">
        <v>226</v>
      </c>
      <c r="F718" s="659" t="s">
        <v>67</v>
      </c>
      <c r="G718" s="660" t="s">
        <v>47</v>
      </c>
      <c r="H718" s="660" t="s">
        <v>39</v>
      </c>
      <c r="I718" s="661" t="s">
        <v>93</v>
      </c>
      <c r="J718" s="17" t="s">
        <v>60</v>
      </c>
      <c r="K718" s="33">
        <v>2.7</v>
      </c>
      <c r="L718" s="33">
        <f>M718-K718</f>
        <v>0</v>
      </c>
      <c r="M718" s="33">
        <v>2.7</v>
      </c>
    </row>
    <row r="719" spans="1:13" s="14" customFormat="1" ht="34.5" customHeight="1" x14ac:dyDescent="0.35">
      <c r="A719" s="18"/>
      <c r="B719" s="31" t="s">
        <v>291</v>
      </c>
      <c r="C719" s="32" t="s">
        <v>289</v>
      </c>
      <c r="D719" s="17" t="s">
        <v>226</v>
      </c>
      <c r="E719" s="17" t="s">
        <v>226</v>
      </c>
      <c r="F719" s="659" t="s">
        <v>67</v>
      </c>
      <c r="G719" s="660" t="s">
        <v>47</v>
      </c>
      <c r="H719" s="660" t="s">
        <v>39</v>
      </c>
      <c r="I719" s="661" t="s">
        <v>292</v>
      </c>
      <c r="J719" s="17"/>
      <c r="K719" s="33">
        <f>K720</f>
        <v>435.3</v>
      </c>
      <c r="L719" s="33">
        <f>L720</f>
        <v>0</v>
      </c>
      <c r="M719" s="33">
        <f>M720</f>
        <v>435.3</v>
      </c>
    </row>
    <row r="720" spans="1:13" s="14" customFormat="1" ht="41.4" customHeight="1" x14ac:dyDescent="0.35">
      <c r="A720" s="18"/>
      <c r="B720" s="31" t="s">
        <v>57</v>
      </c>
      <c r="C720" s="32" t="s">
        <v>289</v>
      </c>
      <c r="D720" s="17" t="s">
        <v>226</v>
      </c>
      <c r="E720" s="17" t="s">
        <v>226</v>
      </c>
      <c r="F720" s="659" t="s">
        <v>67</v>
      </c>
      <c r="G720" s="660" t="s">
        <v>47</v>
      </c>
      <c r="H720" s="660" t="s">
        <v>39</v>
      </c>
      <c r="I720" s="661" t="s">
        <v>292</v>
      </c>
      <c r="J720" s="17" t="s">
        <v>58</v>
      </c>
      <c r="K720" s="33">
        <v>435.3</v>
      </c>
      <c r="L720" s="33">
        <f>M720-K720</f>
        <v>0</v>
      </c>
      <c r="M720" s="33">
        <v>435.3</v>
      </c>
    </row>
    <row r="721" spans="1:14" s="14" customFormat="1" ht="20.399999999999999" customHeight="1" x14ac:dyDescent="0.35">
      <c r="A721" s="18"/>
      <c r="B721" s="31" t="s">
        <v>188</v>
      </c>
      <c r="C721" s="190" t="s">
        <v>289</v>
      </c>
      <c r="D721" s="17" t="s">
        <v>226</v>
      </c>
      <c r="E721" s="17" t="s">
        <v>81</v>
      </c>
      <c r="F721" s="659"/>
      <c r="G721" s="660"/>
      <c r="H721" s="660"/>
      <c r="I721" s="661"/>
      <c r="J721" s="17"/>
      <c r="K721" s="33">
        <f t="shared" ref="K721:M723" si="127">K722</f>
        <v>3396.6000000000004</v>
      </c>
      <c r="L721" s="33">
        <f t="shared" si="127"/>
        <v>0</v>
      </c>
      <c r="M721" s="33">
        <f t="shared" si="127"/>
        <v>3396.6000000000004</v>
      </c>
      <c r="N721" s="200"/>
    </row>
    <row r="722" spans="1:14" s="14" customFormat="1" ht="62.4" customHeight="1" x14ac:dyDescent="0.35">
      <c r="A722" s="18"/>
      <c r="B722" s="31" t="s">
        <v>223</v>
      </c>
      <c r="C722" s="190" t="s">
        <v>289</v>
      </c>
      <c r="D722" s="17" t="s">
        <v>226</v>
      </c>
      <c r="E722" s="17" t="s">
        <v>81</v>
      </c>
      <c r="F722" s="659" t="s">
        <v>67</v>
      </c>
      <c r="G722" s="660" t="s">
        <v>44</v>
      </c>
      <c r="H722" s="660" t="s">
        <v>45</v>
      </c>
      <c r="I722" s="661" t="s">
        <v>46</v>
      </c>
      <c r="J722" s="17"/>
      <c r="K722" s="33">
        <f t="shared" si="127"/>
        <v>3396.6000000000004</v>
      </c>
      <c r="L722" s="33">
        <f t="shared" si="127"/>
        <v>0</v>
      </c>
      <c r="M722" s="33">
        <f t="shared" si="127"/>
        <v>3396.6000000000004</v>
      </c>
      <c r="N722" s="200"/>
    </row>
    <row r="723" spans="1:14" s="14" customFormat="1" ht="41.4" customHeight="1" x14ac:dyDescent="0.35">
      <c r="A723" s="18"/>
      <c r="B723" s="31" t="s">
        <v>222</v>
      </c>
      <c r="C723" s="32" t="s">
        <v>289</v>
      </c>
      <c r="D723" s="17" t="s">
        <v>226</v>
      </c>
      <c r="E723" s="17" t="s">
        <v>81</v>
      </c>
      <c r="F723" s="659" t="s">
        <v>67</v>
      </c>
      <c r="G723" s="660" t="s">
        <v>91</v>
      </c>
      <c r="H723" s="660" t="s">
        <v>45</v>
      </c>
      <c r="I723" s="661" t="s">
        <v>46</v>
      </c>
      <c r="J723" s="17"/>
      <c r="K723" s="33">
        <f t="shared" si="127"/>
        <v>3396.6000000000004</v>
      </c>
      <c r="L723" s="33">
        <f t="shared" si="127"/>
        <v>0</v>
      </c>
      <c r="M723" s="33">
        <f t="shared" si="127"/>
        <v>3396.6000000000004</v>
      </c>
    </row>
    <row r="724" spans="1:14" s="152" customFormat="1" ht="42" customHeight="1" x14ac:dyDescent="0.35">
      <c r="A724" s="18"/>
      <c r="B724" s="31" t="s">
        <v>284</v>
      </c>
      <c r="C724" s="32" t="s">
        <v>289</v>
      </c>
      <c r="D724" s="17" t="s">
        <v>226</v>
      </c>
      <c r="E724" s="17" t="s">
        <v>81</v>
      </c>
      <c r="F724" s="659" t="s">
        <v>67</v>
      </c>
      <c r="G724" s="660" t="s">
        <v>91</v>
      </c>
      <c r="H724" s="660" t="s">
        <v>39</v>
      </c>
      <c r="I724" s="661" t="s">
        <v>46</v>
      </c>
      <c r="J724" s="17"/>
      <c r="K724" s="33">
        <f>K725</f>
        <v>3396.6000000000004</v>
      </c>
      <c r="L724" s="33">
        <f>L725</f>
        <v>0</v>
      </c>
      <c r="M724" s="33">
        <f>M725</f>
        <v>3396.6000000000004</v>
      </c>
    </row>
    <row r="725" spans="1:14" s="14" customFormat="1" ht="43.2" customHeight="1" x14ac:dyDescent="0.35">
      <c r="A725" s="18"/>
      <c r="B725" s="31" t="s">
        <v>49</v>
      </c>
      <c r="C725" s="32" t="s">
        <v>289</v>
      </c>
      <c r="D725" s="17" t="s">
        <v>226</v>
      </c>
      <c r="E725" s="17" t="s">
        <v>81</v>
      </c>
      <c r="F725" s="659" t="s">
        <v>67</v>
      </c>
      <c r="G725" s="660" t="s">
        <v>91</v>
      </c>
      <c r="H725" s="660" t="s">
        <v>39</v>
      </c>
      <c r="I725" s="661" t="s">
        <v>50</v>
      </c>
      <c r="J725" s="17"/>
      <c r="K725" s="33">
        <f>K726+K727+K728</f>
        <v>3396.6000000000004</v>
      </c>
      <c r="L725" s="33">
        <f>L726+L727+L728</f>
        <v>0</v>
      </c>
      <c r="M725" s="33">
        <f>M726+M727+M728</f>
        <v>3396.6000000000004</v>
      </c>
    </row>
    <row r="726" spans="1:14" s="14" customFormat="1" ht="116.4" customHeight="1" x14ac:dyDescent="0.35">
      <c r="A726" s="18"/>
      <c r="B726" s="31" t="s">
        <v>51</v>
      </c>
      <c r="C726" s="32" t="s">
        <v>289</v>
      </c>
      <c r="D726" s="17" t="s">
        <v>226</v>
      </c>
      <c r="E726" s="17" t="s">
        <v>81</v>
      </c>
      <c r="F726" s="659" t="s">
        <v>67</v>
      </c>
      <c r="G726" s="660" t="s">
        <v>91</v>
      </c>
      <c r="H726" s="660" t="s">
        <v>39</v>
      </c>
      <c r="I726" s="661" t="s">
        <v>50</v>
      </c>
      <c r="J726" s="17" t="s">
        <v>52</v>
      </c>
      <c r="K726" s="33">
        <f>2656.5+389</f>
        <v>3045.5</v>
      </c>
      <c r="L726" s="33">
        <f>M726-K726</f>
        <v>0</v>
      </c>
      <c r="M726" s="33">
        <f>2656.5+389</f>
        <v>3045.5</v>
      </c>
      <c r="N726" s="200"/>
    </row>
    <row r="727" spans="1:14" s="14" customFormat="1" ht="43.8" customHeight="1" x14ac:dyDescent="0.35">
      <c r="A727" s="18"/>
      <c r="B727" s="31" t="s">
        <v>57</v>
      </c>
      <c r="C727" s="190" t="s">
        <v>289</v>
      </c>
      <c r="D727" s="126" t="s">
        <v>226</v>
      </c>
      <c r="E727" s="126" t="s">
        <v>81</v>
      </c>
      <c r="F727" s="659" t="s">
        <v>67</v>
      </c>
      <c r="G727" s="660" t="s">
        <v>91</v>
      </c>
      <c r="H727" s="660" t="s">
        <v>39</v>
      </c>
      <c r="I727" s="661" t="s">
        <v>50</v>
      </c>
      <c r="J727" s="17" t="s">
        <v>58</v>
      </c>
      <c r="K727" s="33">
        <v>349.8</v>
      </c>
      <c r="L727" s="33">
        <f>M727-K727</f>
        <v>0</v>
      </c>
      <c r="M727" s="33">
        <v>349.8</v>
      </c>
    </row>
    <row r="728" spans="1:14" s="14" customFormat="1" ht="20.399999999999999" customHeight="1" x14ac:dyDescent="0.35">
      <c r="A728" s="18"/>
      <c r="B728" s="31" t="s">
        <v>59</v>
      </c>
      <c r="C728" s="190" t="s">
        <v>289</v>
      </c>
      <c r="D728" s="126" t="s">
        <v>226</v>
      </c>
      <c r="E728" s="126" t="s">
        <v>81</v>
      </c>
      <c r="F728" s="659" t="s">
        <v>67</v>
      </c>
      <c r="G728" s="660" t="s">
        <v>91</v>
      </c>
      <c r="H728" s="660" t="s">
        <v>39</v>
      </c>
      <c r="I728" s="661" t="s">
        <v>50</v>
      </c>
      <c r="J728" s="17" t="s">
        <v>60</v>
      </c>
      <c r="K728" s="33">
        <v>1.3</v>
      </c>
      <c r="L728" s="33">
        <f>M728-K728</f>
        <v>0</v>
      </c>
      <c r="M728" s="33">
        <v>1.3</v>
      </c>
      <c r="N728" s="200"/>
    </row>
    <row r="729" spans="1:14" s="14" customFormat="1" ht="14.25" customHeight="1" x14ac:dyDescent="0.35">
      <c r="A729" s="18"/>
      <c r="B729" s="31"/>
      <c r="C729" s="190"/>
      <c r="D729" s="126"/>
      <c r="E729" s="126"/>
      <c r="F729" s="659"/>
      <c r="G729" s="660"/>
      <c r="H729" s="660"/>
      <c r="I729" s="661"/>
      <c r="J729" s="17"/>
      <c r="K729" s="33"/>
      <c r="L729" s="33"/>
      <c r="M729" s="33"/>
      <c r="N729" s="200"/>
    </row>
    <row r="730" spans="1:14" s="152" customFormat="1" ht="58.2" customHeight="1" x14ac:dyDescent="0.3">
      <c r="A730" s="151">
        <v>9</v>
      </c>
      <c r="B730" s="25" t="s">
        <v>12</v>
      </c>
      <c r="C730" s="26" t="s">
        <v>297</v>
      </c>
      <c r="D730" s="27"/>
      <c r="E730" s="27"/>
      <c r="F730" s="28"/>
      <c r="G730" s="29"/>
      <c r="H730" s="29"/>
      <c r="I730" s="30"/>
      <c r="J730" s="27"/>
      <c r="K730" s="47">
        <f>K731</f>
        <v>72979.5</v>
      </c>
      <c r="L730" s="47">
        <f>L731</f>
        <v>931.60000000000025</v>
      </c>
      <c r="M730" s="47">
        <f>M731</f>
        <v>73911.099999999991</v>
      </c>
    </row>
    <row r="731" spans="1:14" s="14" customFormat="1" ht="20.399999999999999" customHeight="1" x14ac:dyDescent="0.35">
      <c r="A731" s="18"/>
      <c r="B731" s="37" t="s">
        <v>121</v>
      </c>
      <c r="C731" s="32" t="s">
        <v>297</v>
      </c>
      <c r="D731" s="17" t="s">
        <v>106</v>
      </c>
      <c r="E731" s="17"/>
      <c r="F731" s="659"/>
      <c r="G731" s="660"/>
      <c r="H731" s="660"/>
      <c r="I731" s="661"/>
      <c r="J731" s="17"/>
      <c r="K731" s="33">
        <f>K732+K748</f>
        <v>72979.5</v>
      </c>
      <c r="L731" s="33">
        <f>L732+L748</f>
        <v>931.60000000000025</v>
      </c>
      <c r="M731" s="33">
        <f>M732+M748</f>
        <v>73911.099999999991</v>
      </c>
    </row>
    <row r="732" spans="1:14" s="14" customFormat="1" ht="23.4" customHeight="1" x14ac:dyDescent="0.35">
      <c r="A732" s="18"/>
      <c r="B732" s="31" t="s">
        <v>195</v>
      </c>
      <c r="C732" s="32" t="s">
        <v>297</v>
      </c>
      <c r="D732" s="17" t="s">
        <v>106</v>
      </c>
      <c r="E732" s="17" t="s">
        <v>54</v>
      </c>
      <c r="F732" s="659"/>
      <c r="G732" s="660"/>
      <c r="H732" s="660"/>
      <c r="I732" s="661"/>
      <c r="J732" s="17"/>
      <c r="K732" s="33">
        <f t="shared" ref="K732:M733" si="128">K733</f>
        <v>65283.799999999996</v>
      </c>
      <c r="L732" s="33">
        <f t="shared" si="128"/>
        <v>0</v>
      </c>
      <c r="M732" s="33">
        <f t="shared" si="128"/>
        <v>65283.799999999996</v>
      </c>
    </row>
    <row r="733" spans="1:14" s="14" customFormat="1" ht="63.6" customHeight="1" x14ac:dyDescent="0.35">
      <c r="A733" s="18"/>
      <c r="B733" s="35" t="s">
        <v>232</v>
      </c>
      <c r="C733" s="32" t="s">
        <v>297</v>
      </c>
      <c r="D733" s="17" t="s">
        <v>106</v>
      </c>
      <c r="E733" s="17" t="s">
        <v>54</v>
      </c>
      <c r="F733" s="659" t="s">
        <v>81</v>
      </c>
      <c r="G733" s="660" t="s">
        <v>44</v>
      </c>
      <c r="H733" s="660" t="s">
        <v>45</v>
      </c>
      <c r="I733" s="661" t="s">
        <v>46</v>
      </c>
      <c r="J733" s="17"/>
      <c r="K733" s="33">
        <f t="shared" si="128"/>
        <v>65283.799999999996</v>
      </c>
      <c r="L733" s="33">
        <f t="shared" si="128"/>
        <v>0</v>
      </c>
      <c r="M733" s="33">
        <f t="shared" si="128"/>
        <v>65283.799999999996</v>
      </c>
    </row>
    <row r="734" spans="1:14" s="14" customFormat="1" ht="37.200000000000003" customHeight="1" x14ac:dyDescent="0.35">
      <c r="A734" s="18"/>
      <c r="B734" s="31" t="s">
        <v>345</v>
      </c>
      <c r="C734" s="32" t="s">
        <v>297</v>
      </c>
      <c r="D734" s="17" t="s">
        <v>106</v>
      </c>
      <c r="E734" s="17" t="s">
        <v>54</v>
      </c>
      <c r="F734" s="659" t="s">
        <v>81</v>
      </c>
      <c r="G734" s="660" t="s">
        <v>47</v>
      </c>
      <c r="H734" s="660" t="s">
        <v>45</v>
      </c>
      <c r="I734" s="661" t="s">
        <v>46</v>
      </c>
      <c r="J734" s="17"/>
      <c r="K734" s="33">
        <f>K735</f>
        <v>65283.799999999996</v>
      </c>
      <c r="L734" s="33">
        <f>L735</f>
        <v>0</v>
      </c>
      <c r="M734" s="33">
        <f>M735</f>
        <v>65283.799999999996</v>
      </c>
    </row>
    <row r="735" spans="1:14" s="152" customFormat="1" ht="41.4" customHeight="1" x14ac:dyDescent="0.35">
      <c r="A735" s="18"/>
      <c r="B735" s="31" t="s">
        <v>287</v>
      </c>
      <c r="C735" s="32" t="s">
        <v>297</v>
      </c>
      <c r="D735" s="17" t="s">
        <v>106</v>
      </c>
      <c r="E735" s="17" t="s">
        <v>54</v>
      </c>
      <c r="F735" s="659" t="s">
        <v>81</v>
      </c>
      <c r="G735" s="660" t="s">
        <v>47</v>
      </c>
      <c r="H735" s="660" t="s">
        <v>39</v>
      </c>
      <c r="I735" s="661" t="s">
        <v>46</v>
      </c>
      <c r="J735" s="17"/>
      <c r="K735" s="33">
        <f>K736+K739+K742+K745</f>
        <v>65283.799999999996</v>
      </c>
      <c r="L735" s="33">
        <f>L736+L739+L742+L745</f>
        <v>0</v>
      </c>
      <c r="M735" s="33">
        <f>M736+M739+M742+M745</f>
        <v>65283.799999999996</v>
      </c>
    </row>
    <row r="736" spans="1:14" s="152" customFormat="1" ht="147.6" customHeight="1" x14ac:dyDescent="0.35">
      <c r="A736" s="18"/>
      <c r="B736" s="614" t="s">
        <v>366</v>
      </c>
      <c r="C736" s="32" t="s">
        <v>297</v>
      </c>
      <c r="D736" s="17" t="s">
        <v>106</v>
      </c>
      <c r="E736" s="17" t="s">
        <v>54</v>
      </c>
      <c r="F736" s="659" t="s">
        <v>81</v>
      </c>
      <c r="G736" s="660" t="s">
        <v>47</v>
      </c>
      <c r="H736" s="660" t="s">
        <v>39</v>
      </c>
      <c r="I736" s="661" t="s">
        <v>714</v>
      </c>
      <c r="J736" s="17"/>
      <c r="K736" s="33">
        <f>SUM(K737:K738)</f>
        <v>35369.600000000006</v>
      </c>
      <c r="L736" s="33">
        <f>SUM(L737:L738)</f>
        <v>0</v>
      </c>
      <c r="M736" s="33">
        <f>SUM(M737:M738)</f>
        <v>35369.600000000006</v>
      </c>
    </row>
    <row r="737" spans="1:13" s="152" customFormat="1" ht="52.2" customHeight="1" x14ac:dyDescent="0.35">
      <c r="A737" s="18"/>
      <c r="B737" s="31" t="s">
        <v>57</v>
      </c>
      <c r="C737" s="32" t="s">
        <v>297</v>
      </c>
      <c r="D737" s="17" t="s">
        <v>106</v>
      </c>
      <c r="E737" s="17" t="s">
        <v>54</v>
      </c>
      <c r="F737" s="659" t="s">
        <v>81</v>
      </c>
      <c r="G737" s="660" t="s">
        <v>47</v>
      </c>
      <c r="H737" s="660" t="s">
        <v>39</v>
      </c>
      <c r="I737" s="661" t="s">
        <v>714</v>
      </c>
      <c r="J737" s="17" t="s">
        <v>58</v>
      </c>
      <c r="K737" s="33">
        <v>176.8</v>
      </c>
      <c r="L737" s="33">
        <f>M737-K737</f>
        <v>0</v>
      </c>
      <c r="M737" s="33">
        <v>176.8</v>
      </c>
    </row>
    <row r="738" spans="1:13" s="152" customFormat="1" ht="44.4" customHeight="1" x14ac:dyDescent="0.35">
      <c r="A738" s="18"/>
      <c r="B738" s="31" t="s">
        <v>122</v>
      </c>
      <c r="C738" s="32" t="s">
        <v>297</v>
      </c>
      <c r="D738" s="17" t="s">
        <v>106</v>
      </c>
      <c r="E738" s="17" t="s">
        <v>54</v>
      </c>
      <c r="F738" s="659" t="s">
        <v>81</v>
      </c>
      <c r="G738" s="660" t="s">
        <v>47</v>
      </c>
      <c r="H738" s="660" t="s">
        <v>39</v>
      </c>
      <c r="I738" s="661" t="s">
        <v>714</v>
      </c>
      <c r="J738" s="17" t="s">
        <v>123</v>
      </c>
      <c r="K738" s="33">
        <v>35192.800000000003</v>
      </c>
      <c r="L738" s="33">
        <f>M738-K738</f>
        <v>0</v>
      </c>
      <c r="M738" s="33">
        <v>35192.800000000003</v>
      </c>
    </row>
    <row r="739" spans="1:13" s="152" customFormat="1" ht="103.8" customHeight="1" x14ac:dyDescent="0.35">
      <c r="A739" s="18"/>
      <c r="B739" s="31" t="s">
        <v>368</v>
      </c>
      <c r="C739" s="32" t="s">
        <v>297</v>
      </c>
      <c r="D739" s="17" t="s">
        <v>106</v>
      </c>
      <c r="E739" s="17" t="s">
        <v>54</v>
      </c>
      <c r="F739" s="659" t="s">
        <v>81</v>
      </c>
      <c r="G739" s="660" t="s">
        <v>47</v>
      </c>
      <c r="H739" s="660" t="s">
        <v>39</v>
      </c>
      <c r="I739" s="661" t="s">
        <v>716</v>
      </c>
      <c r="J739" s="17"/>
      <c r="K739" s="33">
        <f>SUM(K740:K741)</f>
        <v>1437.7</v>
      </c>
      <c r="L739" s="33">
        <f>SUM(L740:L741)</f>
        <v>0</v>
      </c>
      <c r="M739" s="33">
        <f>SUM(M740:M741)</f>
        <v>1437.7</v>
      </c>
    </row>
    <row r="740" spans="1:13" s="152" customFormat="1" ht="46.8" customHeight="1" x14ac:dyDescent="0.35">
      <c r="A740" s="18"/>
      <c r="B740" s="31" t="s">
        <v>57</v>
      </c>
      <c r="C740" s="32" t="s">
        <v>297</v>
      </c>
      <c r="D740" s="17" t="s">
        <v>106</v>
      </c>
      <c r="E740" s="17" t="s">
        <v>54</v>
      </c>
      <c r="F740" s="659" t="s">
        <v>81</v>
      </c>
      <c r="G740" s="660" t="s">
        <v>47</v>
      </c>
      <c r="H740" s="660" t="s">
        <v>39</v>
      </c>
      <c r="I740" s="661" t="s">
        <v>716</v>
      </c>
      <c r="J740" s="17" t="s">
        <v>58</v>
      </c>
      <c r="K740" s="33">
        <v>7.2</v>
      </c>
      <c r="L740" s="33">
        <f>M740-K740</f>
        <v>0</v>
      </c>
      <c r="M740" s="33">
        <v>7.2</v>
      </c>
    </row>
    <row r="741" spans="1:13" s="152" customFormat="1" ht="41.4" customHeight="1" x14ac:dyDescent="0.35">
      <c r="A741" s="18"/>
      <c r="B741" s="31" t="s">
        <v>122</v>
      </c>
      <c r="C741" s="32" t="s">
        <v>297</v>
      </c>
      <c r="D741" s="17" t="s">
        <v>106</v>
      </c>
      <c r="E741" s="17" t="s">
        <v>54</v>
      </c>
      <c r="F741" s="659" t="s">
        <v>81</v>
      </c>
      <c r="G741" s="660" t="s">
        <v>47</v>
      </c>
      <c r="H741" s="660" t="s">
        <v>39</v>
      </c>
      <c r="I741" s="661" t="s">
        <v>716</v>
      </c>
      <c r="J741" s="17" t="s">
        <v>123</v>
      </c>
      <c r="K741" s="33">
        <v>1430.5</v>
      </c>
      <c r="L741" s="33">
        <f>M741-K741</f>
        <v>0</v>
      </c>
      <c r="M741" s="33">
        <v>1430.5</v>
      </c>
    </row>
    <row r="742" spans="1:13" s="152" customFormat="1" ht="102.6" customHeight="1" x14ac:dyDescent="0.35">
      <c r="A742" s="18"/>
      <c r="B742" s="31" t="s">
        <v>367</v>
      </c>
      <c r="C742" s="32" t="s">
        <v>297</v>
      </c>
      <c r="D742" s="17" t="s">
        <v>106</v>
      </c>
      <c r="E742" s="17" t="s">
        <v>54</v>
      </c>
      <c r="F742" s="659" t="s">
        <v>81</v>
      </c>
      <c r="G742" s="660" t="s">
        <v>47</v>
      </c>
      <c r="H742" s="660" t="s">
        <v>39</v>
      </c>
      <c r="I742" s="661" t="s">
        <v>715</v>
      </c>
      <c r="J742" s="17"/>
      <c r="K742" s="33">
        <f>SUM(K743:K744)</f>
        <v>26725.899999999998</v>
      </c>
      <c r="L742" s="33">
        <f>SUM(L743:L744)</f>
        <v>0</v>
      </c>
      <c r="M742" s="33">
        <f>SUM(M743:M744)</f>
        <v>26725.899999999998</v>
      </c>
    </row>
    <row r="743" spans="1:13" s="152" customFormat="1" ht="46.2" customHeight="1" x14ac:dyDescent="0.35">
      <c r="A743" s="18"/>
      <c r="B743" s="31" t="s">
        <v>57</v>
      </c>
      <c r="C743" s="32" t="s">
        <v>297</v>
      </c>
      <c r="D743" s="17" t="s">
        <v>106</v>
      </c>
      <c r="E743" s="17" t="s">
        <v>54</v>
      </c>
      <c r="F743" s="659" t="s">
        <v>81</v>
      </c>
      <c r="G743" s="660" t="s">
        <v>47</v>
      </c>
      <c r="H743" s="660" t="s">
        <v>39</v>
      </c>
      <c r="I743" s="661" t="s">
        <v>715</v>
      </c>
      <c r="J743" s="17" t="s">
        <v>58</v>
      </c>
      <c r="K743" s="33">
        <v>133.6</v>
      </c>
      <c r="L743" s="33">
        <f>M743-K743</f>
        <v>0</v>
      </c>
      <c r="M743" s="33">
        <v>133.6</v>
      </c>
    </row>
    <row r="744" spans="1:13" s="152" customFormat="1" ht="38.4" customHeight="1" x14ac:dyDescent="0.35">
      <c r="A744" s="18"/>
      <c r="B744" s="31" t="s">
        <v>122</v>
      </c>
      <c r="C744" s="32" t="s">
        <v>297</v>
      </c>
      <c r="D744" s="17" t="s">
        <v>106</v>
      </c>
      <c r="E744" s="17" t="s">
        <v>54</v>
      </c>
      <c r="F744" s="659" t="s">
        <v>81</v>
      </c>
      <c r="G744" s="660" t="s">
        <v>47</v>
      </c>
      <c r="H744" s="660" t="s">
        <v>39</v>
      </c>
      <c r="I744" s="661" t="s">
        <v>715</v>
      </c>
      <c r="J744" s="17" t="s">
        <v>123</v>
      </c>
      <c r="K744" s="33">
        <v>26592.3</v>
      </c>
      <c r="L744" s="33">
        <f>M744-K744</f>
        <v>0</v>
      </c>
      <c r="M744" s="33">
        <v>26592.3</v>
      </c>
    </row>
    <row r="745" spans="1:13" s="152" customFormat="1" ht="117.6" customHeight="1" x14ac:dyDescent="0.35">
      <c r="A745" s="18"/>
      <c r="B745" s="31" t="s">
        <v>374</v>
      </c>
      <c r="C745" s="32" t="s">
        <v>297</v>
      </c>
      <c r="D745" s="17" t="s">
        <v>106</v>
      </c>
      <c r="E745" s="17" t="s">
        <v>54</v>
      </c>
      <c r="F745" s="659" t="s">
        <v>81</v>
      </c>
      <c r="G745" s="660" t="s">
        <v>47</v>
      </c>
      <c r="H745" s="660" t="s">
        <v>39</v>
      </c>
      <c r="I745" s="661" t="s">
        <v>717</v>
      </c>
      <c r="J745" s="17"/>
      <c r="K745" s="33">
        <f>SUM(K746:K747)</f>
        <v>1750.6</v>
      </c>
      <c r="L745" s="33">
        <f>SUM(L746:L747)</f>
        <v>0</v>
      </c>
      <c r="M745" s="33">
        <f>SUM(M746:M747)</f>
        <v>1750.6</v>
      </c>
    </row>
    <row r="746" spans="1:13" s="152" customFormat="1" ht="49.8" customHeight="1" x14ac:dyDescent="0.35">
      <c r="A746" s="18"/>
      <c r="B746" s="31" t="s">
        <v>57</v>
      </c>
      <c r="C746" s="32" t="s">
        <v>297</v>
      </c>
      <c r="D746" s="17" t="s">
        <v>106</v>
      </c>
      <c r="E746" s="17" t="s">
        <v>54</v>
      </c>
      <c r="F746" s="659" t="s">
        <v>81</v>
      </c>
      <c r="G746" s="660" t="s">
        <v>47</v>
      </c>
      <c r="H746" s="660" t="s">
        <v>39</v>
      </c>
      <c r="I746" s="661" t="s">
        <v>717</v>
      </c>
      <c r="J746" s="17" t="s">
        <v>58</v>
      </c>
      <c r="K746" s="33">
        <v>8.6</v>
      </c>
      <c r="L746" s="33">
        <f>M746-K746</f>
        <v>0</v>
      </c>
      <c r="M746" s="33">
        <v>8.6</v>
      </c>
    </row>
    <row r="747" spans="1:13" s="152" customFormat="1" ht="42" customHeight="1" x14ac:dyDescent="0.35">
      <c r="A747" s="18"/>
      <c r="B747" s="31" t="s">
        <v>122</v>
      </c>
      <c r="C747" s="32" t="s">
        <v>297</v>
      </c>
      <c r="D747" s="17" t="s">
        <v>106</v>
      </c>
      <c r="E747" s="17" t="s">
        <v>54</v>
      </c>
      <c r="F747" s="659" t="s">
        <v>81</v>
      </c>
      <c r="G747" s="660" t="s">
        <v>47</v>
      </c>
      <c r="H747" s="660" t="s">
        <v>39</v>
      </c>
      <c r="I747" s="661" t="s">
        <v>717</v>
      </c>
      <c r="J747" s="17" t="s">
        <v>123</v>
      </c>
      <c r="K747" s="33">
        <v>1742</v>
      </c>
      <c r="L747" s="33">
        <f>M747-K747</f>
        <v>0</v>
      </c>
      <c r="M747" s="33">
        <v>1742</v>
      </c>
    </row>
    <row r="748" spans="1:13" s="14" customFormat="1" ht="29.4" customHeight="1" x14ac:dyDescent="0.35">
      <c r="A748" s="18"/>
      <c r="B748" s="31" t="s">
        <v>299</v>
      </c>
      <c r="C748" s="32" t="s">
        <v>297</v>
      </c>
      <c r="D748" s="17" t="s">
        <v>106</v>
      </c>
      <c r="E748" s="17" t="s">
        <v>83</v>
      </c>
      <c r="F748" s="659"/>
      <c r="G748" s="660"/>
      <c r="H748" s="660"/>
      <c r="I748" s="661"/>
      <c r="J748" s="17"/>
      <c r="K748" s="33">
        <f>K749</f>
        <v>7695.7</v>
      </c>
      <c r="L748" s="33">
        <f>L749</f>
        <v>931.60000000000025</v>
      </c>
      <c r="M748" s="33">
        <f>M749</f>
        <v>8627.2999999999993</v>
      </c>
    </row>
    <row r="749" spans="1:13" s="14" customFormat="1" ht="61.8" customHeight="1" x14ac:dyDescent="0.35">
      <c r="A749" s="18"/>
      <c r="B749" s="35" t="s">
        <v>232</v>
      </c>
      <c r="C749" s="32" t="s">
        <v>297</v>
      </c>
      <c r="D749" s="17" t="s">
        <v>106</v>
      </c>
      <c r="E749" s="17" t="s">
        <v>83</v>
      </c>
      <c r="F749" s="659" t="s">
        <v>81</v>
      </c>
      <c r="G749" s="660" t="s">
        <v>44</v>
      </c>
      <c r="H749" s="660" t="s">
        <v>45</v>
      </c>
      <c r="I749" s="661" t="s">
        <v>46</v>
      </c>
      <c r="J749" s="17"/>
      <c r="K749" s="33">
        <f t="shared" ref="K749:M750" si="129">K750</f>
        <v>7695.7</v>
      </c>
      <c r="L749" s="33">
        <f t="shared" si="129"/>
        <v>931.60000000000025</v>
      </c>
      <c r="M749" s="33">
        <f t="shared" si="129"/>
        <v>8627.2999999999993</v>
      </c>
    </row>
    <row r="750" spans="1:13" s="14" customFormat="1" ht="37.799999999999997" customHeight="1" x14ac:dyDescent="0.35">
      <c r="A750" s="18"/>
      <c r="B750" s="31" t="s">
        <v>345</v>
      </c>
      <c r="C750" s="32" t="s">
        <v>297</v>
      </c>
      <c r="D750" s="17" t="s">
        <v>106</v>
      </c>
      <c r="E750" s="17" t="s">
        <v>83</v>
      </c>
      <c r="F750" s="659" t="s">
        <v>81</v>
      </c>
      <c r="G750" s="660" t="s">
        <v>47</v>
      </c>
      <c r="H750" s="660" t="s">
        <v>45</v>
      </c>
      <c r="I750" s="661" t="s">
        <v>46</v>
      </c>
      <c r="J750" s="17"/>
      <c r="K750" s="33">
        <f t="shared" si="129"/>
        <v>7695.7</v>
      </c>
      <c r="L750" s="33">
        <f t="shared" si="129"/>
        <v>931.60000000000025</v>
      </c>
      <c r="M750" s="33">
        <f t="shared" si="129"/>
        <v>8627.2999999999993</v>
      </c>
    </row>
    <row r="751" spans="1:13" s="152" customFormat="1" ht="43.8" customHeight="1" x14ac:dyDescent="0.35">
      <c r="A751" s="18"/>
      <c r="B751" s="31" t="s">
        <v>231</v>
      </c>
      <c r="C751" s="32" t="s">
        <v>297</v>
      </c>
      <c r="D751" s="17" t="s">
        <v>106</v>
      </c>
      <c r="E751" s="17" t="s">
        <v>83</v>
      </c>
      <c r="F751" s="659" t="s">
        <v>81</v>
      </c>
      <c r="G751" s="660" t="s">
        <v>47</v>
      </c>
      <c r="H751" s="660" t="s">
        <v>65</v>
      </c>
      <c r="I751" s="661" t="s">
        <v>46</v>
      </c>
      <c r="J751" s="17"/>
      <c r="K751" s="33">
        <f>K752+K755+K758</f>
        <v>7695.7</v>
      </c>
      <c r="L751" s="33">
        <f>L752+L755+L758</f>
        <v>931.60000000000025</v>
      </c>
      <c r="M751" s="33">
        <f>M752+M755+M758</f>
        <v>8627.2999999999993</v>
      </c>
    </row>
    <row r="752" spans="1:13" s="152" customFormat="1" ht="252" x14ac:dyDescent="0.35">
      <c r="A752" s="18"/>
      <c r="B752" s="615" t="s">
        <v>234</v>
      </c>
      <c r="C752" s="32" t="s">
        <v>297</v>
      </c>
      <c r="D752" s="17" t="s">
        <v>106</v>
      </c>
      <c r="E752" s="17" t="s">
        <v>83</v>
      </c>
      <c r="F752" s="659" t="s">
        <v>81</v>
      </c>
      <c r="G752" s="660" t="s">
        <v>47</v>
      </c>
      <c r="H752" s="660" t="s">
        <v>65</v>
      </c>
      <c r="I752" s="661" t="s">
        <v>718</v>
      </c>
      <c r="J752" s="17"/>
      <c r="K752" s="33">
        <f>K753+K754</f>
        <v>884.4</v>
      </c>
      <c r="L752" s="33">
        <f>L753+L754</f>
        <v>100.10000000000002</v>
      </c>
      <c r="M752" s="33">
        <f>M753+M754</f>
        <v>984.5</v>
      </c>
    </row>
    <row r="753" spans="1:13" s="152" customFormat="1" ht="112.5" customHeight="1" x14ac:dyDescent="0.35">
      <c r="A753" s="18"/>
      <c r="B753" s="31" t="s">
        <v>51</v>
      </c>
      <c r="C753" s="32" t="s">
        <v>297</v>
      </c>
      <c r="D753" s="17" t="s">
        <v>106</v>
      </c>
      <c r="E753" s="17" t="s">
        <v>83</v>
      </c>
      <c r="F753" s="659" t="s">
        <v>81</v>
      </c>
      <c r="G753" s="660" t="s">
        <v>47</v>
      </c>
      <c r="H753" s="660" t="s">
        <v>65</v>
      </c>
      <c r="I753" s="661" t="s">
        <v>718</v>
      </c>
      <c r="J753" s="17" t="s">
        <v>52</v>
      </c>
      <c r="K753" s="33">
        <v>824.4</v>
      </c>
      <c r="L753" s="33">
        <f>M753-K753</f>
        <v>100.10000000000002</v>
      </c>
      <c r="M753" s="33">
        <f>824.4+100.1</f>
        <v>924.5</v>
      </c>
    </row>
    <row r="754" spans="1:13" s="152" customFormat="1" ht="39" customHeight="1" x14ac:dyDescent="0.35">
      <c r="A754" s="18"/>
      <c r="B754" s="31" t="s">
        <v>57</v>
      </c>
      <c r="C754" s="32" t="s">
        <v>297</v>
      </c>
      <c r="D754" s="17" t="s">
        <v>106</v>
      </c>
      <c r="E754" s="17" t="s">
        <v>83</v>
      </c>
      <c r="F754" s="659" t="s">
        <v>81</v>
      </c>
      <c r="G754" s="660" t="s">
        <v>47</v>
      </c>
      <c r="H754" s="660" t="s">
        <v>65</v>
      </c>
      <c r="I754" s="661" t="s">
        <v>718</v>
      </c>
      <c r="J754" s="17" t="s">
        <v>58</v>
      </c>
      <c r="K754" s="33">
        <v>60</v>
      </c>
      <c r="L754" s="33">
        <f>M754-K754</f>
        <v>0</v>
      </c>
      <c r="M754" s="33">
        <v>60</v>
      </c>
    </row>
    <row r="755" spans="1:13" s="152" customFormat="1" ht="108" x14ac:dyDescent="0.35">
      <c r="A755" s="18"/>
      <c r="B755" s="31" t="s">
        <v>535</v>
      </c>
      <c r="C755" s="32" t="s">
        <v>297</v>
      </c>
      <c r="D755" s="17" t="s">
        <v>106</v>
      </c>
      <c r="E755" s="17" t="s">
        <v>83</v>
      </c>
      <c r="F755" s="659" t="s">
        <v>81</v>
      </c>
      <c r="G755" s="660" t="s">
        <v>47</v>
      </c>
      <c r="H755" s="660" t="s">
        <v>65</v>
      </c>
      <c r="I755" s="661" t="s">
        <v>712</v>
      </c>
      <c r="J755" s="17"/>
      <c r="K755" s="33">
        <f>K756+K757</f>
        <v>645.4</v>
      </c>
      <c r="L755" s="33">
        <f>L756+L757</f>
        <v>78.200000000000045</v>
      </c>
      <c r="M755" s="33">
        <f>M756+M757</f>
        <v>723.6</v>
      </c>
    </row>
    <row r="756" spans="1:13" s="152" customFormat="1" ht="112.5" customHeight="1" x14ac:dyDescent="0.35">
      <c r="A756" s="18"/>
      <c r="B756" s="31" t="s">
        <v>51</v>
      </c>
      <c r="C756" s="32" t="s">
        <v>297</v>
      </c>
      <c r="D756" s="17" t="s">
        <v>106</v>
      </c>
      <c r="E756" s="17" t="s">
        <v>83</v>
      </c>
      <c r="F756" s="659" t="s">
        <v>81</v>
      </c>
      <c r="G756" s="660" t="s">
        <v>47</v>
      </c>
      <c r="H756" s="660" t="s">
        <v>65</v>
      </c>
      <c r="I756" s="661" t="s">
        <v>712</v>
      </c>
      <c r="J756" s="17" t="s">
        <v>52</v>
      </c>
      <c r="K756" s="33">
        <v>615.4</v>
      </c>
      <c r="L756" s="33">
        <f>M756-K756</f>
        <v>78.200000000000045</v>
      </c>
      <c r="M756" s="33">
        <f>615.4+78.2</f>
        <v>693.6</v>
      </c>
    </row>
    <row r="757" spans="1:13" s="152" customFormat="1" ht="34.950000000000003" customHeight="1" x14ac:dyDescent="0.35">
      <c r="A757" s="18"/>
      <c r="B757" s="31" t="s">
        <v>57</v>
      </c>
      <c r="C757" s="32" t="s">
        <v>297</v>
      </c>
      <c r="D757" s="17" t="s">
        <v>106</v>
      </c>
      <c r="E757" s="17" t="s">
        <v>83</v>
      </c>
      <c r="F757" s="659" t="s">
        <v>81</v>
      </c>
      <c r="G757" s="660" t="s">
        <v>47</v>
      </c>
      <c r="H757" s="660" t="s">
        <v>65</v>
      </c>
      <c r="I757" s="661" t="s">
        <v>712</v>
      </c>
      <c r="J757" s="17" t="s">
        <v>58</v>
      </c>
      <c r="K757" s="33">
        <v>30</v>
      </c>
      <c r="L757" s="33">
        <f>M757-K757</f>
        <v>0</v>
      </c>
      <c r="M757" s="33">
        <v>30</v>
      </c>
    </row>
    <row r="758" spans="1:13" s="152" customFormat="1" ht="72" x14ac:dyDescent="0.35">
      <c r="A758" s="18"/>
      <c r="B758" s="31" t="s">
        <v>233</v>
      </c>
      <c r="C758" s="32" t="s">
        <v>297</v>
      </c>
      <c r="D758" s="17" t="s">
        <v>106</v>
      </c>
      <c r="E758" s="17" t="s">
        <v>83</v>
      </c>
      <c r="F758" s="659" t="s">
        <v>81</v>
      </c>
      <c r="G758" s="660" t="s">
        <v>47</v>
      </c>
      <c r="H758" s="660" t="s">
        <v>65</v>
      </c>
      <c r="I758" s="661" t="s">
        <v>713</v>
      </c>
      <c r="J758" s="17"/>
      <c r="K758" s="33">
        <f>K759+K760</f>
        <v>6165.9</v>
      </c>
      <c r="L758" s="33">
        <f>L759+L760</f>
        <v>753.30000000000018</v>
      </c>
      <c r="M758" s="33">
        <f>M759+M760</f>
        <v>6919.2</v>
      </c>
    </row>
    <row r="759" spans="1:13" s="152" customFormat="1" ht="112.5" customHeight="1" x14ac:dyDescent="0.35">
      <c r="A759" s="18"/>
      <c r="B759" s="31" t="s">
        <v>51</v>
      </c>
      <c r="C759" s="32" t="s">
        <v>297</v>
      </c>
      <c r="D759" s="17" t="s">
        <v>106</v>
      </c>
      <c r="E759" s="17" t="s">
        <v>83</v>
      </c>
      <c r="F759" s="659" t="s">
        <v>81</v>
      </c>
      <c r="G759" s="660" t="s">
        <v>47</v>
      </c>
      <c r="H759" s="660" t="s">
        <v>65</v>
      </c>
      <c r="I759" s="661" t="s">
        <v>713</v>
      </c>
      <c r="J759" s="17" t="s">
        <v>52</v>
      </c>
      <c r="K759" s="33">
        <v>5805.9</v>
      </c>
      <c r="L759" s="33">
        <f>M759-K759</f>
        <v>753.30000000000018</v>
      </c>
      <c r="M759" s="33">
        <f>5805.9+753.3</f>
        <v>6559.2</v>
      </c>
    </row>
    <row r="760" spans="1:13" s="152" customFormat="1" ht="55.95" customHeight="1" x14ac:dyDescent="0.35">
      <c r="A760" s="18"/>
      <c r="B760" s="31" t="s">
        <v>57</v>
      </c>
      <c r="C760" s="32" t="s">
        <v>297</v>
      </c>
      <c r="D760" s="17" t="s">
        <v>106</v>
      </c>
      <c r="E760" s="17" t="s">
        <v>83</v>
      </c>
      <c r="F760" s="659" t="s">
        <v>81</v>
      </c>
      <c r="G760" s="660" t="s">
        <v>47</v>
      </c>
      <c r="H760" s="660" t="s">
        <v>65</v>
      </c>
      <c r="I760" s="661" t="s">
        <v>713</v>
      </c>
      <c r="J760" s="17" t="s">
        <v>58</v>
      </c>
      <c r="K760" s="33">
        <v>360</v>
      </c>
      <c r="L760" s="33">
        <f>M760-K760</f>
        <v>0</v>
      </c>
      <c r="M760" s="33">
        <v>360</v>
      </c>
    </row>
    <row r="761" spans="1:13" s="152" customFormat="1" ht="25.5" customHeight="1" x14ac:dyDescent="0.35">
      <c r="A761" s="229"/>
      <c r="B761" s="142"/>
      <c r="C761" s="230"/>
      <c r="D761" s="143"/>
      <c r="E761" s="143"/>
      <c r="F761" s="143"/>
      <c r="G761" s="143"/>
      <c r="H761" s="143"/>
      <c r="I761" s="143"/>
      <c r="J761" s="143"/>
      <c r="K761" s="143"/>
      <c r="L761" s="143"/>
      <c r="M761" s="231"/>
    </row>
    <row r="762" spans="1:13" s="152" customFormat="1" ht="20.25" customHeight="1" x14ac:dyDescent="0.35">
      <c r="A762" s="229"/>
      <c r="B762" s="142"/>
      <c r="C762" s="230"/>
      <c r="D762" s="143"/>
      <c r="E762" s="143"/>
      <c r="F762" s="143"/>
      <c r="G762" s="143"/>
      <c r="H762" s="143"/>
      <c r="I762" s="143"/>
      <c r="J762" s="143"/>
      <c r="K762" s="143"/>
      <c r="L762" s="143"/>
      <c r="M762" s="231"/>
    </row>
    <row r="763" spans="1:13" s="105" customFormat="1" ht="18.75" customHeight="1" x14ac:dyDescent="0.35">
      <c r="A763" s="145" t="s">
        <v>388</v>
      </c>
      <c r="B763" s="107"/>
      <c r="C763" s="108"/>
      <c r="D763" s="108"/>
      <c r="E763" s="108"/>
      <c r="F763" s="59"/>
      <c r="G763" s="144"/>
      <c r="H763" s="191"/>
      <c r="M763" s="106"/>
    </row>
    <row r="764" spans="1:13" s="105" customFormat="1" ht="18.75" customHeight="1" x14ac:dyDescent="0.35">
      <c r="A764" s="145" t="s">
        <v>389</v>
      </c>
      <c r="B764" s="107"/>
      <c r="C764" s="108"/>
      <c r="D764" s="108"/>
      <c r="E764" s="108"/>
      <c r="F764" s="59"/>
      <c r="G764" s="144"/>
      <c r="H764" s="191"/>
      <c r="M764" s="106"/>
    </row>
    <row r="765" spans="1:13" s="105" customFormat="1" ht="18.75" customHeight="1" x14ac:dyDescent="0.35">
      <c r="A765" s="146" t="s">
        <v>390</v>
      </c>
      <c r="B765" s="107"/>
      <c r="E765" s="108"/>
      <c r="F765" s="59"/>
      <c r="M765" s="357" t="s">
        <v>412</v>
      </c>
    </row>
    <row r="766" spans="1:13" s="232" customFormat="1" ht="18.75" customHeight="1" x14ac:dyDescent="0.35">
      <c r="A766" s="229"/>
      <c r="B766" s="142"/>
      <c r="C766" s="230"/>
      <c r="D766" s="143"/>
      <c r="E766" s="143"/>
      <c r="F766" s="143"/>
      <c r="G766" s="143"/>
      <c r="H766" s="143"/>
      <c r="I766" s="143"/>
      <c r="J766" s="143"/>
      <c r="K766" s="143"/>
      <c r="L766" s="143"/>
      <c r="M766" s="231"/>
    </row>
    <row r="767" spans="1:13" s="232" customFormat="1" ht="18.75" customHeight="1" x14ac:dyDescent="0.35">
      <c r="A767" s="229"/>
      <c r="B767" s="142"/>
      <c r="C767" s="230"/>
      <c r="D767" s="143"/>
      <c r="E767" s="143"/>
      <c r="F767" s="143"/>
      <c r="G767" s="143"/>
      <c r="H767" s="143"/>
      <c r="I767" s="143"/>
      <c r="J767" s="143"/>
      <c r="K767" s="143"/>
      <c r="L767" s="143"/>
      <c r="M767" s="231"/>
    </row>
    <row r="768" spans="1:13" s="232" customFormat="1" ht="18.75" customHeight="1" x14ac:dyDescent="0.35">
      <c r="A768" s="229"/>
      <c r="B768" s="142"/>
      <c r="C768" s="230"/>
      <c r="D768" s="143"/>
      <c r="E768" s="143"/>
      <c r="F768" s="143"/>
      <c r="G768" s="143"/>
      <c r="H768" s="143"/>
      <c r="I768" s="143"/>
      <c r="J768" s="143"/>
      <c r="K768" s="143"/>
      <c r="L768" s="143"/>
      <c r="M768" s="231"/>
    </row>
    <row r="769" spans="1:14" s="232" customFormat="1" ht="18.75" hidden="1" customHeight="1" x14ac:dyDescent="0.35">
      <c r="A769" s="229"/>
      <c r="B769" s="142"/>
      <c r="C769" s="230"/>
      <c r="D769" s="42" t="s">
        <v>39</v>
      </c>
      <c r="E769" s="42" t="s">
        <v>41</v>
      </c>
      <c r="F769" s="43"/>
      <c r="G769" s="43"/>
      <c r="H769" s="43"/>
      <c r="I769" s="43"/>
      <c r="J769" s="43"/>
      <c r="K769" s="43"/>
      <c r="L769" s="43"/>
      <c r="M769" s="360">
        <f>M18</f>
        <v>2439.1999999999998</v>
      </c>
      <c r="N769" s="233"/>
    </row>
    <row r="770" spans="1:14" s="232" customFormat="1" ht="18.75" hidden="1" customHeight="1" x14ac:dyDescent="0.35">
      <c r="A770" s="229"/>
      <c r="B770" s="142"/>
      <c r="C770" s="230"/>
      <c r="D770" s="42" t="s">
        <v>39</v>
      </c>
      <c r="E770" s="42" t="s">
        <v>54</v>
      </c>
      <c r="F770" s="43"/>
      <c r="G770" s="43"/>
      <c r="H770" s="43"/>
      <c r="I770" s="43"/>
      <c r="J770" s="43"/>
      <c r="K770" s="43"/>
      <c r="L770" s="43"/>
      <c r="M770" s="360">
        <f>M24</f>
        <v>85863.226000000024</v>
      </c>
      <c r="N770" s="233"/>
    </row>
    <row r="771" spans="1:14" s="232" customFormat="1" ht="18.75" hidden="1" customHeight="1" x14ac:dyDescent="0.35">
      <c r="A771" s="229"/>
      <c r="B771" s="142"/>
      <c r="C771" s="230"/>
      <c r="D771" s="42" t="s">
        <v>39</v>
      </c>
      <c r="E771" s="42" t="s">
        <v>67</v>
      </c>
      <c r="F771" s="43"/>
      <c r="G771" s="43"/>
      <c r="H771" s="43"/>
      <c r="I771" s="43"/>
      <c r="J771" s="43"/>
      <c r="K771" s="43"/>
      <c r="L771" s="43"/>
      <c r="M771" s="360">
        <f>M49</f>
        <v>140</v>
      </c>
      <c r="N771" s="233"/>
    </row>
    <row r="772" spans="1:14" s="232" customFormat="1" ht="18.75" hidden="1" customHeight="1" x14ac:dyDescent="0.35">
      <c r="A772" s="229"/>
      <c r="B772" s="142"/>
      <c r="C772" s="230"/>
      <c r="D772" s="42" t="s">
        <v>39</v>
      </c>
      <c r="E772" s="42" t="s">
        <v>83</v>
      </c>
      <c r="F772" s="43"/>
      <c r="G772" s="43"/>
      <c r="H772" s="43"/>
      <c r="I772" s="43"/>
      <c r="J772" s="43"/>
      <c r="K772" s="43"/>
      <c r="L772" s="43"/>
      <c r="M772" s="360">
        <f>M253+M296</f>
        <v>35225.5</v>
      </c>
      <c r="N772" s="233"/>
    </row>
    <row r="773" spans="1:14" s="232" customFormat="1" ht="18.75" hidden="1" customHeight="1" x14ac:dyDescent="0.35">
      <c r="A773" s="229"/>
      <c r="B773" s="142"/>
      <c r="C773" s="230"/>
      <c r="D773" s="42" t="s">
        <v>39</v>
      </c>
      <c r="E773" s="42" t="s">
        <v>69</v>
      </c>
      <c r="F773" s="43"/>
      <c r="G773" s="43"/>
      <c r="H773" s="43"/>
      <c r="I773" s="43"/>
      <c r="J773" s="43"/>
      <c r="K773" s="43"/>
      <c r="L773" s="43"/>
      <c r="M773" s="360">
        <f>M55</f>
        <v>14070.2868</v>
      </c>
      <c r="N773" s="233"/>
    </row>
    <row r="774" spans="1:14" s="232" customFormat="1" ht="18.75" hidden="1" customHeight="1" x14ac:dyDescent="0.35">
      <c r="A774" s="229"/>
      <c r="B774" s="142"/>
      <c r="C774" s="230"/>
      <c r="D774" s="42" t="s">
        <v>39</v>
      </c>
      <c r="E774" s="42" t="s">
        <v>73</v>
      </c>
      <c r="F774" s="43"/>
      <c r="G774" s="43"/>
      <c r="H774" s="43"/>
      <c r="I774" s="43"/>
      <c r="J774" s="43"/>
      <c r="K774" s="43"/>
      <c r="L774" s="43"/>
      <c r="M774" s="360">
        <f>M60+M264+M308+M698+M559+M641+M397</f>
        <v>59396.199999999983</v>
      </c>
      <c r="N774" s="233"/>
    </row>
    <row r="775" spans="1:14" ht="18.75" hidden="1" customHeight="1" x14ac:dyDescent="0.35">
      <c r="D775" s="195" t="s">
        <v>39</v>
      </c>
      <c r="E775" s="195" t="s">
        <v>45</v>
      </c>
      <c r="F775" s="43"/>
      <c r="G775" s="43"/>
      <c r="H775" s="43"/>
      <c r="I775" s="43"/>
      <c r="J775" s="43"/>
      <c r="K775" s="43"/>
      <c r="L775" s="43"/>
      <c r="M775" s="196">
        <f>SUBTOTAL(9,M769:M774)</f>
        <v>197134.41279999999</v>
      </c>
      <c r="N775" s="234"/>
    </row>
    <row r="776" spans="1:14" ht="18.75" hidden="1" customHeight="1" x14ac:dyDescent="0.35">
      <c r="D776" s="42"/>
      <c r="E776" s="42"/>
      <c r="F776" s="43"/>
      <c r="G776" s="43"/>
      <c r="H776" s="43"/>
      <c r="I776" s="43"/>
      <c r="J776" s="43"/>
      <c r="K776" s="43"/>
      <c r="L776" s="43"/>
      <c r="M776" s="194"/>
      <c r="N776" s="233"/>
    </row>
    <row r="777" spans="1:14" ht="18.75" hidden="1" customHeight="1" x14ac:dyDescent="0.35">
      <c r="D777" s="42" t="s">
        <v>65</v>
      </c>
      <c r="E777" s="42" t="s">
        <v>106</v>
      </c>
      <c r="F777" s="43"/>
      <c r="G777" s="43"/>
      <c r="H777" s="43"/>
      <c r="I777" s="43"/>
      <c r="J777" s="43"/>
      <c r="K777" s="43"/>
      <c r="L777" s="43"/>
      <c r="M777" s="359">
        <f>M92</f>
        <v>11875.199999999999</v>
      </c>
      <c r="N777" s="233"/>
    </row>
    <row r="778" spans="1:14" ht="18.75" hidden="1" customHeight="1" x14ac:dyDescent="0.35">
      <c r="D778" s="42" t="s">
        <v>65</v>
      </c>
      <c r="E778" s="42" t="s">
        <v>90</v>
      </c>
      <c r="F778" s="43"/>
      <c r="G778" s="43"/>
      <c r="H778" s="43"/>
      <c r="I778" s="43"/>
      <c r="J778" s="43"/>
      <c r="K778" s="43"/>
      <c r="L778" s="43"/>
      <c r="M778" s="359">
        <f>M104</f>
        <v>15871.2</v>
      </c>
      <c r="N778" s="233"/>
    </row>
    <row r="779" spans="1:14" ht="18.75" hidden="1" customHeight="1" x14ac:dyDescent="0.35">
      <c r="D779" s="195" t="s">
        <v>65</v>
      </c>
      <c r="E779" s="195" t="s">
        <v>45</v>
      </c>
      <c r="F779" s="43"/>
      <c r="G779" s="43"/>
      <c r="H779" s="43"/>
      <c r="I779" s="43"/>
      <c r="J779" s="43"/>
      <c r="K779" s="43"/>
      <c r="L779" s="43"/>
      <c r="M779" s="196">
        <f>SUBTOTAL(9,M777:M778)</f>
        <v>27746.400000000001</v>
      </c>
      <c r="N779" s="234"/>
    </row>
    <row r="780" spans="1:14" ht="18.75" hidden="1" customHeight="1" x14ac:dyDescent="0.35">
      <c r="D780" s="42"/>
      <c r="E780" s="42"/>
      <c r="F780" s="43"/>
      <c r="G780" s="43"/>
      <c r="H780" s="43"/>
      <c r="I780" s="43"/>
      <c r="J780" s="43"/>
      <c r="K780" s="43"/>
      <c r="L780" s="43"/>
      <c r="M780" s="194"/>
      <c r="N780" s="233"/>
    </row>
    <row r="781" spans="1:14" ht="18.75" hidden="1" customHeight="1" x14ac:dyDescent="0.35">
      <c r="D781" s="42" t="s">
        <v>54</v>
      </c>
      <c r="E781" s="42" t="s">
        <v>67</v>
      </c>
      <c r="F781" s="43"/>
      <c r="G781" s="43"/>
      <c r="H781" s="43"/>
      <c r="I781" s="43"/>
      <c r="J781" s="43"/>
      <c r="K781" s="43"/>
      <c r="L781" s="43"/>
      <c r="M781" s="194">
        <f>M129</f>
        <v>22646.200000000004</v>
      </c>
      <c r="N781" s="233"/>
    </row>
    <row r="782" spans="1:14" ht="18.75" hidden="1" customHeight="1" x14ac:dyDescent="0.35">
      <c r="D782" s="42" t="s">
        <v>54</v>
      </c>
      <c r="E782" s="42" t="s">
        <v>81</v>
      </c>
      <c r="F782" s="43"/>
      <c r="G782" s="43"/>
      <c r="H782" s="43"/>
      <c r="I782" s="43"/>
      <c r="J782" s="43"/>
      <c r="K782" s="43"/>
      <c r="L782" s="43"/>
      <c r="M782" s="194">
        <f>M138</f>
        <v>9619.9220000000005</v>
      </c>
      <c r="N782" s="233"/>
    </row>
    <row r="783" spans="1:14" ht="18.75" hidden="1" customHeight="1" x14ac:dyDescent="0.35">
      <c r="D783" s="42" t="s">
        <v>54</v>
      </c>
      <c r="E783" s="42" t="s">
        <v>102</v>
      </c>
      <c r="F783" s="43"/>
      <c r="G783" s="43"/>
      <c r="H783" s="43"/>
      <c r="I783" s="43"/>
      <c r="J783" s="43"/>
      <c r="K783" s="43"/>
      <c r="L783" s="43"/>
      <c r="M783" s="194">
        <f>M144+M349</f>
        <v>41596.699999999997</v>
      </c>
      <c r="N783" s="233"/>
    </row>
    <row r="784" spans="1:14" ht="18.75" hidden="1" customHeight="1" x14ac:dyDescent="0.35">
      <c r="D784" s="195" t="s">
        <v>54</v>
      </c>
      <c r="E784" s="195" t="s">
        <v>45</v>
      </c>
      <c r="F784" s="43"/>
      <c r="G784" s="43"/>
      <c r="H784" s="43"/>
      <c r="I784" s="43"/>
      <c r="J784" s="43"/>
      <c r="K784" s="43"/>
      <c r="L784" s="43"/>
      <c r="M784" s="196">
        <f>SUBTOTAL(9,M781:M783)</f>
        <v>73862.822</v>
      </c>
      <c r="N784" s="234"/>
    </row>
    <row r="785" spans="4:14" ht="18.75" hidden="1" customHeight="1" x14ac:dyDescent="0.35">
      <c r="D785" s="42"/>
      <c r="E785" s="42"/>
      <c r="F785" s="43"/>
      <c r="G785" s="43"/>
      <c r="H785" s="43"/>
      <c r="I785" s="43"/>
      <c r="J785" s="43"/>
      <c r="K785" s="43"/>
      <c r="L785" s="43"/>
      <c r="M785" s="194"/>
      <c r="N785" s="233"/>
    </row>
    <row r="786" spans="4:14" ht="18.75" hidden="1" customHeight="1" x14ac:dyDescent="0.35">
      <c r="D786" s="42" t="s">
        <v>67</v>
      </c>
      <c r="E786" s="42" t="s">
        <v>39</v>
      </c>
      <c r="F786" s="43"/>
      <c r="G786" s="43"/>
      <c r="H786" s="43"/>
      <c r="I786" s="43"/>
      <c r="J786" s="43"/>
      <c r="K786" s="43"/>
      <c r="L786" s="43"/>
      <c r="M786" s="194">
        <f>M172</f>
        <v>43419.7</v>
      </c>
      <c r="N786" s="233"/>
    </row>
    <row r="787" spans="4:14" ht="18.75" hidden="1" customHeight="1" x14ac:dyDescent="0.35">
      <c r="D787" s="42" t="s">
        <v>67</v>
      </c>
      <c r="E787" s="42" t="s">
        <v>41</v>
      </c>
      <c r="F787" s="43"/>
      <c r="G787" s="43"/>
      <c r="H787" s="43"/>
      <c r="I787" s="43"/>
      <c r="J787" s="43"/>
      <c r="K787" s="43"/>
      <c r="L787" s="43"/>
      <c r="M787" s="194">
        <f>M356</f>
        <v>13384.6</v>
      </c>
      <c r="N787" s="233"/>
    </row>
    <row r="788" spans="4:14" ht="18.75" hidden="1" customHeight="1" x14ac:dyDescent="0.35">
      <c r="D788" s="42" t="s">
        <v>67</v>
      </c>
      <c r="E788" s="42" t="s">
        <v>67</v>
      </c>
      <c r="F788" s="43"/>
      <c r="G788" s="43"/>
      <c r="H788" s="43"/>
      <c r="I788" s="43"/>
      <c r="J788" s="43"/>
      <c r="K788" s="43"/>
      <c r="L788" s="43"/>
      <c r="M788" s="194"/>
      <c r="N788" s="233"/>
    </row>
    <row r="789" spans="4:14" ht="18.75" hidden="1" customHeight="1" x14ac:dyDescent="0.35">
      <c r="D789" s="42" t="s">
        <v>67</v>
      </c>
      <c r="E789" s="42" t="s">
        <v>65</v>
      </c>
      <c r="F789" s="43"/>
      <c r="G789" s="43"/>
      <c r="H789" s="43"/>
      <c r="I789" s="43"/>
      <c r="J789" s="43"/>
      <c r="K789" s="43"/>
      <c r="L789" s="43"/>
      <c r="M789" s="194">
        <f>M182</f>
        <v>3333.7</v>
      </c>
      <c r="N789" s="233"/>
    </row>
    <row r="790" spans="4:14" ht="18.75" hidden="1" customHeight="1" x14ac:dyDescent="0.35">
      <c r="D790" s="195" t="s">
        <v>67</v>
      </c>
      <c r="E790" s="195" t="s">
        <v>45</v>
      </c>
      <c r="F790" s="43"/>
      <c r="G790" s="43"/>
      <c r="H790" s="43"/>
      <c r="I790" s="43"/>
      <c r="J790" s="43"/>
      <c r="K790" s="43"/>
      <c r="L790" s="43"/>
      <c r="M790" s="196">
        <f>SUBTOTAL(9,M786:M789)</f>
        <v>60137.999999999993</v>
      </c>
      <c r="N790" s="234"/>
    </row>
    <row r="791" spans="4:14" ht="18.75" hidden="1" customHeight="1" x14ac:dyDescent="0.35">
      <c r="D791" s="42"/>
      <c r="E791" s="42"/>
      <c r="F791" s="43"/>
      <c r="G791" s="43"/>
      <c r="H791" s="43"/>
      <c r="I791" s="43"/>
      <c r="J791" s="43"/>
      <c r="K791" s="43"/>
      <c r="L791" s="43"/>
      <c r="M791" s="194"/>
      <c r="N791" s="233"/>
    </row>
    <row r="792" spans="4:14" ht="18.75" hidden="1" customHeight="1" x14ac:dyDescent="0.35">
      <c r="D792" s="42" t="s">
        <v>226</v>
      </c>
      <c r="E792" s="42" t="s">
        <v>39</v>
      </c>
      <c r="F792" s="43"/>
      <c r="G792" s="43"/>
      <c r="H792" s="43"/>
      <c r="I792" s="43"/>
      <c r="J792" s="43"/>
      <c r="K792" s="43"/>
      <c r="L792" s="43"/>
      <c r="M792" s="194">
        <f>M410+M365</f>
        <v>467825.30000000005</v>
      </c>
      <c r="N792" s="233"/>
    </row>
    <row r="793" spans="4:14" ht="18.75" hidden="1" customHeight="1" x14ac:dyDescent="0.35">
      <c r="D793" s="42" t="s">
        <v>226</v>
      </c>
      <c r="E793" s="42" t="s">
        <v>41</v>
      </c>
      <c r="F793" s="43"/>
      <c r="G793" s="43"/>
      <c r="H793" s="43"/>
      <c r="I793" s="43"/>
      <c r="J793" s="43"/>
      <c r="K793" s="43"/>
      <c r="L793" s="43"/>
      <c r="M793" s="194">
        <f>M373+M436</f>
        <v>656081.10900000005</v>
      </c>
      <c r="N793" s="233"/>
    </row>
    <row r="794" spans="4:14" ht="18.75" hidden="1" customHeight="1" x14ac:dyDescent="0.35">
      <c r="D794" s="42" t="s">
        <v>226</v>
      </c>
      <c r="E794" s="42" t="s">
        <v>65</v>
      </c>
      <c r="F794" s="43"/>
      <c r="G794" s="43"/>
      <c r="H794" s="43"/>
      <c r="I794" s="43"/>
      <c r="J794" s="43"/>
      <c r="K794" s="43"/>
      <c r="L794" s="43"/>
      <c r="M794" s="194">
        <f>M494+M569</f>
        <v>125112.58500000001</v>
      </c>
      <c r="N794" s="233"/>
    </row>
    <row r="795" spans="4:14" ht="18.75" hidden="1" customHeight="1" x14ac:dyDescent="0.35">
      <c r="D795" s="42" t="s">
        <v>226</v>
      </c>
      <c r="E795" s="42" t="s">
        <v>67</v>
      </c>
      <c r="F795" s="43"/>
      <c r="G795" s="43"/>
      <c r="H795" s="43"/>
      <c r="I795" s="43"/>
      <c r="J795" s="43"/>
      <c r="K795" s="43"/>
      <c r="L795" s="43"/>
      <c r="M795" s="194">
        <f>M193+M274+M379</f>
        <v>221.2</v>
      </c>
      <c r="N795" s="233"/>
    </row>
    <row r="796" spans="4:14" ht="18.75" hidden="1" customHeight="1" x14ac:dyDescent="0.35">
      <c r="D796" s="42" t="s">
        <v>226</v>
      </c>
      <c r="E796" s="42" t="s">
        <v>226</v>
      </c>
      <c r="F796" s="43"/>
      <c r="G796" s="43"/>
      <c r="H796" s="43"/>
      <c r="I796" s="43"/>
      <c r="J796" s="43"/>
      <c r="K796" s="43"/>
      <c r="L796" s="43"/>
      <c r="M796" s="194">
        <f>M711+M579+M517</f>
        <v>9711.5999999999985</v>
      </c>
      <c r="N796" s="233"/>
    </row>
    <row r="797" spans="4:14" ht="18.75" hidden="1" customHeight="1" x14ac:dyDescent="0.35">
      <c r="D797" s="42" t="s">
        <v>226</v>
      </c>
      <c r="E797" s="42" t="s">
        <v>81</v>
      </c>
      <c r="F797" s="43"/>
      <c r="G797" s="43"/>
      <c r="H797" s="43"/>
      <c r="I797" s="43"/>
      <c r="J797" s="43"/>
      <c r="K797" s="43"/>
      <c r="L797" s="43"/>
      <c r="M797" s="194">
        <f>M525+M585+M721</f>
        <v>75263.266999999993</v>
      </c>
      <c r="N797" s="233"/>
    </row>
    <row r="798" spans="4:14" ht="18.75" hidden="1" customHeight="1" x14ac:dyDescent="0.35">
      <c r="D798" s="195" t="s">
        <v>226</v>
      </c>
      <c r="E798" s="195" t="s">
        <v>45</v>
      </c>
      <c r="F798" s="43"/>
      <c r="G798" s="43"/>
      <c r="H798" s="43"/>
      <c r="I798" s="43"/>
      <c r="J798" s="43"/>
      <c r="K798" s="43"/>
      <c r="L798" s="43"/>
      <c r="M798" s="196">
        <f>SUBTOTAL(9,M792:M797)</f>
        <v>1334215.061</v>
      </c>
      <c r="N798" s="234"/>
    </row>
    <row r="799" spans="4:14" ht="18.75" hidden="1" customHeight="1" x14ac:dyDescent="0.35">
      <c r="D799" s="42"/>
      <c r="E799" s="42"/>
      <c r="F799" s="43"/>
      <c r="G799" s="43"/>
      <c r="H799" s="43"/>
      <c r="I799" s="43"/>
      <c r="J799" s="43"/>
      <c r="K799" s="43"/>
      <c r="L799" s="43"/>
      <c r="M799" s="194"/>
      <c r="N799" s="233"/>
    </row>
    <row r="800" spans="4:14" ht="18.75" hidden="1" customHeight="1" x14ac:dyDescent="0.35">
      <c r="D800" s="42" t="s">
        <v>228</v>
      </c>
      <c r="E800" s="42" t="s">
        <v>39</v>
      </c>
      <c r="F800" s="43"/>
      <c r="G800" s="43"/>
      <c r="H800" s="43"/>
      <c r="I800" s="43"/>
      <c r="J800" s="43"/>
      <c r="K800" s="43"/>
      <c r="L800" s="43"/>
      <c r="M800" s="194">
        <f>M592</f>
        <v>32307.723000000002</v>
      </c>
      <c r="N800" s="233"/>
    </row>
    <row r="801" spans="4:14" ht="18.75" hidden="1" customHeight="1" x14ac:dyDescent="0.35">
      <c r="D801" s="42" t="s">
        <v>228</v>
      </c>
      <c r="E801" s="42" t="s">
        <v>54</v>
      </c>
      <c r="F801" s="43"/>
      <c r="G801" s="43"/>
      <c r="H801" s="43"/>
      <c r="I801" s="43"/>
      <c r="J801" s="43"/>
      <c r="K801" s="43"/>
      <c r="L801" s="43"/>
      <c r="M801" s="194">
        <f>M620</f>
        <v>11211.677000000001</v>
      </c>
      <c r="N801" s="233"/>
    </row>
    <row r="802" spans="4:14" ht="18.75" hidden="1" customHeight="1" x14ac:dyDescent="0.35">
      <c r="D802" s="195" t="s">
        <v>228</v>
      </c>
      <c r="E802" s="195" t="s">
        <v>45</v>
      </c>
      <c r="F802" s="43"/>
      <c r="G802" s="43"/>
      <c r="H802" s="43"/>
      <c r="I802" s="43"/>
      <c r="J802" s="43"/>
      <c r="K802" s="43"/>
      <c r="L802" s="43"/>
      <c r="M802" s="196">
        <f>SUBTOTAL(9,M800:M801)</f>
        <v>43519.4</v>
      </c>
      <c r="N802" s="234"/>
    </row>
    <row r="803" spans="4:14" ht="18.75" hidden="1" customHeight="1" x14ac:dyDescent="0.35">
      <c r="D803" s="42"/>
      <c r="E803" s="42"/>
      <c r="F803" s="43"/>
      <c r="G803" s="43"/>
      <c r="H803" s="43"/>
      <c r="I803" s="43"/>
      <c r="J803" s="43"/>
      <c r="K803" s="43"/>
      <c r="L803" s="43"/>
      <c r="M803" s="194"/>
      <c r="N803" s="233"/>
    </row>
    <row r="804" spans="4:14" ht="18.75" hidden="1" customHeight="1" x14ac:dyDescent="0.35">
      <c r="D804" s="42" t="s">
        <v>106</v>
      </c>
      <c r="E804" s="42" t="s">
        <v>39</v>
      </c>
      <c r="F804" s="43"/>
      <c r="G804" s="43"/>
      <c r="H804" s="43"/>
      <c r="I804" s="43"/>
      <c r="J804" s="43"/>
      <c r="K804" s="43"/>
      <c r="L804" s="43"/>
      <c r="M804" s="194">
        <f>M200</f>
        <v>1200</v>
      </c>
      <c r="N804" s="233"/>
    </row>
    <row r="805" spans="4:14" ht="18.75" hidden="1" customHeight="1" x14ac:dyDescent="0.35">
      <c r="D805" s="42" t="s">
        <v>106</v>
      </c>
      <c r="E805" s="42" t="s">
        <v>65</v>
      </c>
      <c r="F805" s="43"/>
      <c r="G805" s="43"/>
      <c r="H805" s="43"/>
      <c r="I805" s="43"/>
      <c r="J805" s="43"/>
      <c r="K805" s="43"/>
      <c r="L805" s="43"/>
      <c r="M805" s="194"/>
      <c r="N805" s="233"/>
    </row>
    <row r="806" spans="4:14" ht="18.75" hidden="1" customHeight="1" x14ac:dyDescent="0.35">
      <c r="D806" s="42" t="s">
        <v>106</v>
      </c>
      <c r="E806" s="42" t="s">
        <v>54</v>
      </c>
      <c r="F806" s="43"/>
      <c r="G806" s="43"/>
      <c r="H806" s="43"/>
      <c r="I806" s="43"/>
      <c r="J806" s="43"/>
      <c r="K806" s="43"/>
      <c r="L806" s="43"/>
      <c r="M806" s="194">
        <f>M386+M549+M732</f>
        <v>135415.69999999998</v>
      </c>
      <c r="N806" s="233"/>
    </row>
    <row r="807" spans="4:14" ht="18.75" hidden="1" customHeight="1" x14ac:dyDescent="0.35">
      <c r="D807" s="42" t="s">
        <v>106</v>
      </c>
      <c r="E807" s="42" t="s">
        <v>83</v>
      </c>
      <c r="F807" s="43"/>
      <c r="G807" s="43"/>
      <c r="H807" s="43"/>
      <c r="I807" s="43"/>
      <c r="J807" s="43"/>
      <c r="K807" s="43"/>
      <c r="L807" s="43"/>
      <c r="M807" s="194">
        <f>M206+M748</f>
        <v>9655</v>
      </c>
      <c r="N807" s="233"/>
    </row>
    <row r="808" spans="4:14" ht="18.75" hidden="1" customHeight="1" x14ac:dyDescent="0.35">
      <c r="D808" s="195" t="s">
        <v>106</v>
      </c>
      <c r="E808" s="195" t="s">
        <v>45</v>
      </c>
      <c r="F808" s="43"/>
      <c r="G808" s="43"/>
      <c r="H808" s="43"/>
      <c r="I808" s="43"/>
      <c r="J808" s="43"/>
      <c r="K808" s="43"/>
      <c r="L808" s="43"/>
      <c r="M808" s="196">
        <f>SUBTOTAL(9,M804:M807)</f>
        <v>146270.69999999998</v>
      </c>
      <c r="N808" s="234"/>
    </row>
    <row r="809" spans="4:14" ht="18.75" hidden="1" customHeight="1" x14ac:dyDescent="0.35">
      <c r="D809" s="42"/>
      <c r="E809" s="42"/>
      <c r="F809" s="43"/>
      <c r="G809" s="43"/>
      <c r="H809" s="43"/>
      <c r="I809" s="43"/>
      <c r="J809" s="43"/>
      <c r="K809" s="43"/>
      <c r="L809" s="43"/>
      <c r="M809" s="194"/>
      <c r="N809" s="233"/>
    </row>
    <row r="810" spans="4:14" ht="18.75" hidden="1" customHeight="1" x14ac:dyDescent="0.35">
      <c r="D810" s="42" t="s">
        <v>69</v>
      </c>
      <c r="E810" s="42" t="s">
        <v>39</v>
      </c>
      <c r="F810" s="43"/>
      <c r="G810" s="43"/>
      <c r="H810" s="43"/>
      <c r="I810" s="43"/>
      <c r="J810" s="43"/>
      <c r="K810" s="43"/>
      <c r="L810" s="43"/>
      <c r="M810" s="194">
        <f>M648</f>
        <v>47297.7</v>
      </c>
      <c r="N810" s="233"/>
    </row>
    <row r="811" spans="4:14" ht="18.75" hidden="1" customHeight="1" x14ac:dyDescent="0.35">
      <c r="D811" s="42" t="s">
        <v>69</v>
      </c>
      <c r="E811" s="42" t="s">
        <v>41</v>
      </c>
      <c r="F811" s="43"/>
      <c r="G811" s="43"/>
      <c r="H811" s="43"/>
      <c r="I811" s="43"/>
      <c r="J811" s="43"/>
      <c r="K811" s="43"/>
      <c r="L811" s="43"/>
      <c r="M811" s="194">
        <f>M681</f>
        <v>629.70000000000005</v>
      </c>
      <c r="N811" s="233"/>
    </row>
    <row r="812" spans="4:14" ht="18.75" hidden="1" customHeight="1" x14ac:dyDescent="0.35">
      <c r="D812" s="42" t="s">
        <v>69</v>
      </c>
      <c r="E812" s="42" t="s">
        <v>67</v>
      </c>
      <c r="F812" s="43"/>
      <c r="G812" s="43"/>
      <c r="H812" s="43"/>
      <c r="I812" s="43"/>
      <c r="J812" s="43"/>
      <c r="K812" s="43"/>
      <c r="L812" s="43"/>
      <c r="M812" s="194">
        <f>M687</f>
        <v>2858.1</v>
      </c>
      <c r="N812" s="233"/>
    </row>
    <row r="813" spans="4:14" ht="18.75" hidden="1" customHeight="1" x14ac:dyDescent="0.35">
      <c r="D813" s="195" t="s">
        <v>69</v>
      </c>
      <c r="E813" s="195" t="s">
        <v>45</v>
      </c>
      <c r="F813" s="43"/>
      <c r="G813" s="43"/>
      <c r="H813" s="43"/>
      <c r="I813" s="43"/>
      <c r="J813" s="43"/>
      <c r="K813" s="43"/>
      <c r="L813" s="43"/>
      <c r="M813" s="196">
        <f>SUBTOTAL(9,M810:M812)</f>
        <v>50785.499999999993</v>
      </c>
      <c r="N813" s="234"/>
    </row>
    <row r="814" spans="4:14" ht="18.75" hidden="1" customHeight="1" x14ac:dyDescent="0.35">
      <c r="D814" s="42"/>
      <c r="E814" s="42"/>
      <c r="F814" s="43"/>
      <c r="G814" s="43"/>
      <c r="H814" s="43"/>
      <c r="I814" s="43"/>
      <c r="J814" s="43"/>
      <c r="K814" s="43"/>
      <c r="L814" s="43"/>
      <c r="M814" s="194"/>
      <c r="N814" s="233"/>
    </row>
    <row r="815" spans="4:14" ht="18.75" hidden="1" customHeight="1" x14ac:dyDescent="0.35">
      <c r="D815" s="42" t="s">
        <v>73</v>
      </c>
      <c r="E815" s="42" t="s">
        <v>39</v>
      </c>
      <c r="F815" s="43"/>
      <c r="G815" s="43"/>
      <c r="H815" s="43"/>
      <c r="I815" s="43"/>
      <c r="J815" s="43"/>
      <c r="K815" s="43"/>
      <c r="L815" s="43"/>
      <c r="M815" s="194">
        <f>M213</f>
        <v>9.4</v>
      </c>
      <c r="N815" s="233"/>
    </row>
    <row r="816" spans="4:14" ht="18.75" hidden="1" customHeight="1" x14ac:dyDescent="0.35">
      <c r="D816" s="195" t="s">
        <v>73</v>
      </c>
      <c r="E816" s="195" t="s">
        <v>45</v>
      </c>
      <c r="F816" s="43"/>
      <c r="G816" s="43"/>
      <c r="H816" s="43"/>
      <c r="I816" s="43"/>
      <c r="J816" s="43"/>
      <c r="K816" s="43"/>
      <c r="L816" s="43"/>
      <c r="M816" s="196">
        <f>M815</f>
        <v>9.4</v>
      </c>
      <c r="N816" s="234"/>
    </row>
    <row r="817" spans="2:14" ht="18.75" hidden="1" customHeight="1" x14ac:dyDescent="0.35">
      <c r="D817" s="42"/>
      <c r="E817" s="42"/>
      <c r="F817" s="43"/>
      <c r="G817" s="43"/>
      <c r="H817" s="43"/>
      <c r="I817" s="43"/>
      <c r="J817" s="43"/>
      <c r="K817" s="43"/>
      <c r="L817" s="43"/>
      <c r="M817" s="194"/>
      <c r="N817" s="233"/>
    </row>
    <row r="818" spans="2:14" ht="18.75" hidden="1" customHeight="1" x14ac:dyDescent="0.35">
      <c r="D818" s="42" t="s">
        <v>90</v>
      </c>
      <c r="E818" s="42" t="s">
        <v>39</v>
      </c>
      <c r="F818" s="43"/>
      <c r="G818" s="43"/>
      <c r="H818" s="43"/>
      <c r="I818" s="43"/>
      <c r="J818" s="43"/>
      <c r="K818" s="43"/>
      <c r="L818" s="43"/>
      <c r="M818" s="194">
        <f>M281</f>
        <v>7000</v>
      </c>
      <c r="N818" s="233"/>
    </row>
    <row r="819" spans="2:14" ht="18.75" hidden="1" customHeight="1" x14ac:dyDescent="0.35">
      <c r="D819" s="42" t="s">
        <v>90</v>
      </c>
      <c r="E819" s="42" t="s">
        <v>41</v>
      </c>
      <c r="F819" s="43"/>
      <c r="G819" s="43"/>
      <c r="H819" s="43"/>
      <c r="I819" s="43"/>
      <c r="J819" s="43"/>
      <c r="K819" s="43"/>
      <c r="L819" s="43"/>
      <c r="M819" s="194"/>
      <c r="N819" s="233"/>
    </row>
    <row r="820" spans="2:14" ht="18.75" hidden="1" customHeight="1" x14ac:dyDescent="0.35">
      <c r="D820" s="42" t="s">
        <v>90</v>
      </c>
      <c r="E820" s="42" t="s">
        <v>65</v>
      </c>
      <c r="F820" s="43"/>
      <c r="G820" s="43"/>
      <c r="H820" s="43"/>
      <c r="I820" s="43"/>
      <c r="J820" s="43"/>
      <c r="K820" s="43"/>
      <c r="L820" s="43"/>
      <c r="M820" s="194">
        <f>M220+M287</f>
        <v>21523.41</v>
      </c>
      <c r="N820" s="233"/>
    </row>
    <row r="821" spans="2:14" ht="18.75" hidden="1" customHeight="1" x14ac:dyDescent="0.35">
      <c r="D821" s="195" t="s">
        <v>90</v>
      </c>
      <c r="E821" s="195" t="s">
        <v>45</v>
      </c>
      <c r="F821" s="43"/>
      <c r="G821" s="43"/>
      <c r="H821" s="43"/>
      <c r="I821" s="43"/>
      <c r="J821" s="43"/>
      <c r="K821" s="43"/>
      <c r="L821" s="43"/>
      <c r="M821" s="196">
        <f>SUBTOTAL(9,M818:M820)</f>
        <v>28523.41</v>
      </c>
      <c r="N821" s="234"/>
    </row>
    <row r="822" spans="2:14" ht="18.75" hidden="1" customHeight="1" x14ac:dyDescent="0.35">
      <c r="D822" s="99"/>
      <c r="E822" s="42"/>
      <c r="F822" s="43"/>
      <c r="G822" s="43"/>
      <c r="H822" s="43"/>
      <c r="I822" s="43"/>
      <c r="J822" s="43"/>
      <c r="K822" s="43"/>
      <c r="L822" s="43"/>
      <c r="M822" s="358">
        <f>M775+M779+M784+M790+M798+M802+M808+M813+M816+M821</f>
        <v>1962205.1057999996</v>
      </c>
      <c r="N822" s="102"/>
    </row>
    <row r="823" spans="2:14" ht="18.75" hidden="1" customHeight="1" x14ac:dyDescent="0.35">
      <c r="D823" s="100"/>
      <c r="E823" s="100"/>
      <c r="F823" s="48"/>
      <c r="G823" s="48"/>
      <c r="H823" s="48"/>
      <c r="I823" s="48"/>
      <c r="J823" s="48"/>
      <c r="K823" s="48"/>
      <c r="L823" s="48"/>
      <c r="M823" s="101"/>
      <c r="N823" s="102"/>
    </row>
    <row r="824" spans="2:14" ht="18.75" hidden="1" customHeight="1" x14ac:dyDescent="0.35">
      <c r="B824" s="8" t="s">
        <v>376</v>
      </c>
      <c r="D824" s="100"/>
      <c r="E824" s="100"/>
      <c r="F824" s="48"/>
      <c r="G824" s="48"/>
      <c r="H824" s="48"/>
      <c r="I824" s="48"/>
      <c r="J824" s="48"/>
      <c r="K824" s="48"/>
      <c r="L824" s="48"/>
      <c r="M824" s="101"/>
      <c r="N824" s="102"/>
    </row>
    <row r="825" spans="2:14" ht="18.75" hidden="1" customHeight="1" x14ac:dyDescent="0.35">
      <c r="B825" s="8" t="s">
        <v>375</v>
      </c>
      <c r="D825" s="100"/>
      <c r="E825" s="100"/>
      <c r="F825" s="48"/>
      <c r="G825" s="48"/>
      <c r="H825" s="48"/>
      <c r="I825" s="48"/>
      <c r="J825" s="48"/>
      <c r="K825" s="48"/>
      <c r="L825" s="48"/>
      <c r="M825" s="101"/>
      <c r="N825" s="102"/>
    </row>
    <row r="826" spans="2:14" ht="18.75" customHeight="1" x14ac:dyDescent="0.35">
      <c r="D826" s="100"/>
      <c r="E826" s="100"/>
      <c r="F826" s="48"/>
      <c r="G826" s="48"/>
      <c r="H826" s="48"/>
      <c r="I826" s="48"/>
      <c r="J826" s="48"/>
      <c r="K826" s="48"/>
      <c r="L826" s="48"/>
      <c r="M826" s="103"/>
      <c r="N826" s="102"/>
    </row>
    <row r="827" spans="2:14" ht="18.75" customHeight="1" x14ac:dyDescent="0.35">
      <c r="D827" s="100"/>
      <c r="E827" s="100"/>
      <c r="F827" s="48"/>
      <c r="G827" s="48"/>
      <c r="H827" s="48"/>
      <c r="I827" s="48"/>
      <c r="J827" s="48"/>
      <c r="K827" s="48"/>
      <c r="L827" s="48"/>
      <c r="M827" s="104"/>
      <c r="N827" s="102"/>
    </row>
    <row r="828" spans="2:14" ht="15" customHeight="1" x14ac:dyDescent="0.3">
      <c r="D828" s="102"/>
      <c r="E828" s="102"/>
      <c r="F828" s="102"/>
      <c r="G828" s="102"/>
      <c r="H828" s="102"/>
      <c r="I828" s="102"/>
      <c r="J828" s="102"/>
      <c r="K828" s="102"/>
      <c r="L828" s="102"/>
      <c r="M828" s="104"/>
      <c r="N828" s="102"/>
    </row>
    <row r="829" spans="2:14" ht="15" customHeight="1" x14ac:dyDescent="0.3">
      <c r="D829" s="102"/>
      <c r="E829" s="102"/>
      <c r="F829" s="102"/>
      <c r="G829" s="102"/>
      <c r="H829" s="102"/>
      <c r="I829" s="102"/>
      <c r="J829" s="102"/>
      <c r="K829" s="102"/>
      <c r="L829" s="102"/>
      <c r="M829" s="104"/>
      <c r="N829" s="102"/>
    </row>
    <row r="830" spans="2:14" ht="15" customHeight="1" x14ac:dyDescent="0.3">
      <c r="D830" s="102"/>
      <c r="E830" s="102"/>
      <c r="F830" s="102"/>
      <c r="G830" s="102"/>
      <c r="H830" s="102"/>
      <c r="I830" s="102"/>
      <c r="J830" s="102"/>
      <c r="K830" s="102"/>
      <c r="L830" s="102"/>
      <c r="M830" s="104"/>
      <c r="N830" s="102"/>
    </row>
    <row r="831" spans="2:14" ht="15" customHeight="1" x14ac:dyDescent="0.3">
      <c r="D831" s="102"/>
      <c r="E831" s="102"/>
      <c r="F831" s="102"/>
      <c r="G831" s="102"/>
      <c r="H831" s="102"/>
      <c r="I831" s="102"/>
      <c r="J831" s="102"/>
      <c r="K831" s="102"/>
      <c r="L831" s="102"/>
      <c r="M831" s="104"/>
      <c r="N831" s="102"/>
    </row>
    <row r="832" spans="2:14" ht="15" customHeight="1" x14ac:dyDescent="0.3">
      <c r="D832" s="102"/>
      <c r="E832" s="102"/>
      <c r="F832" s="102"/>
      <c r="G832" s="102"/>
      <c r="H832" s="102"/>
      <c r="I832" s="102"/>
      <c r="J832" s="102"/>
      <c r="K832" s="102"/>
      <c r="L832" s="102"/>
      <c r="M832" s="104"/>
      <c r="N832" s="102"/>
    </row>
    <row r="833" spans="4:14" ht="15" customHeight="1" x14ac:dyDescent="0.3">
      <c r="D833" s="102"/>
      <c r="E833" s="102"/>
      <c r="F833" s="102"/>
      <c r="G833" s="102"/>
      <c r="H833" s="102"/>
      <c r="I833" s="102"/>
      <c r="J833" s="102"/>
      <c r="K833" s="102"/>
      <c r="L833" s="102"/>
      <c r="M833" s="104"/>
      <c r="N833" s="102"/>
    </row>
    <row r="834" spans="4:14" ht="15" customHeight="1" x14ac:dyDescent="0.3">
      <c r="D834" s="102"/>
      <c r="E834" s="102"/>
      <c r="F834" s="102"/>
      <c r="G834" s="102"/>
      <c r="H834" s="102"/>
      <c r="I834" s="102"/>
      <c r="J834" s="102"/>
      <c r="K834" s="102"/>
      <c r="L834" s="102"/>
      <c r="M834" s="104"/>
      <c r="N834" s="102"/>
    </row>
    <row r="835" spans="4:14" ht="15" customHeight="1" x14ac:dyDescent="0.3">
      <c r="D835" s="102"/>
      <c r="E835" s="102"/>
      <c r="F835" s="102"/>
      <c r="G835" s="102"/>
      <c r="H835" s="102"/>
      <c r="I835" s="102"/>
      <c r="J835" s="102"/>
      <c r="K835" s="102"/>
      <c r="L835" s="102"/>
      <c r="M835" s="104"/>
      <c r="N835" s="102"/>
    </row>
    <row r="836" spans="4:14" ht="15" customHeight="1" x14ac:dyDescent="0.3">
      <c r="D836" s="102"/>
      <c r="E836" s="102"/>
      <c r="F836" s="102"/>
      <c r="G836" s="102"/>
      <c r="H836" s="102"/>
      <c r="I836" s="102"/>
      <c r="J836" s="102"/>
      <c r="K836" s="102"/>
      <c r="L836" s="102"/>
      <c r="M836" s="104"/>
      <c r="N836" s="102"/>
    </row>
    <row r="837" spans="4:14" ht="15" customHeight="1" x14ac:dyDescent="0.3">
      <c r="D837" s="102"/>
      <c r="E837" s="102"/>
      <c r="F837" s="102"/>
      <c r="G837" s="102"/>
      <c r="H837" s="102"/>
      <c r="I837" s="102"/>
      <c r="J837" s="102"/>
      <c r="K837" s="102"/>
      <c r="L837" s="102"/>
      <c r="M837" s="104"/>
      <c r="N837" s="102"/>
    </row>
    <row r="838" spans="4:14" ht="15" customHeight="1" x14ac:dyDescent="0.3">
      <c r="D838" s="102"/>
      <c r="E838" s="102"/>
      <c r="F838" s="102"/>
      <c r="G838" s="102"/>
      <c r="H838" s="102"/>
      <c r="I838" s="102"/>
      <c r="J838" s="102"/>
      <c r="K838" s="102"/>
      <c r="L838" s="102"/>
      <c r="M838" s="104"/>
      <c r="N838" s="102"/>
    </row>
    <row r="839" spans="4:14" ht="15" customHeight="1" x14ac:dyDescent="0.3">
      <c r="D839" s="102"/>
      <c r="E839" s="102"/>
      <c r="F839" s="102"/>
      <c r="G839" s="102"/>
      <c r="H839" s="102"/>
      <c r="I839" s="102"/>
      <c r="J839" s="102"/>
      <c r="K839" s="102"/>
      <c r="L839" s="102"/>
      <c r="M839" s="104"/>
      <c r="N839" s="102"/>
    </row>
    <row r="840" spans="4:14" ht="15" customHeight="1" x14ac:dyDescent="0.3">
      <c r="D840" s="102"/>
      <c r="E840" s="102"/>
      <c r="F840" s="102"/>
      <c r="G840" s="102"/>
      <c r="H840" s="102"/>
      <c r="I840" s="102"/>
      <c r="J840" s="102"/>
      <c r="K840" s="102"/>
      <c r="L840" s="102"/>
      <c r="M840" s="104"/>
      <c r="N840" s="102"/>
    </row>
    <row r="841" spans="4:14" ht="15" customHeight="1" x14ac:dyDescent="0.3">
      <c r="D841" s="102"/>
      <c r="E841" s="102"/>
      <c r="F841" s="102"/>
      <c r="G841" s="102"/>
      <c r="H841" s="102"/>
      <c r="I841" s="102"/>
      <c r="J841" s="102"/>
      <c r="K841" s="102"/>
      <c r="L841" s="102"/>
      <c r="M841" s="104"/>
      <c r="N841" s="102"/>
    </row>
    <row r="842" spans="4:14" ht="15" customHeight="1" x14ac:dyDescent="0.3">
      <c r="D842" s="102"/>
      <c r="E842" s="102"/>
      <c r="F842" s="102"/>
      <c r="G842" s="102"/>
      <c r="H842" s="102"/>
      <c r="I842" s="102"/>
      <c r="J842" s="102"/>
      <c r="K842" s="102"/>
      <c r="L842" s="102"/>
      <c r="M842" s="104"/>
      <c r="N842" s="102"/>
    </row>
    <row r="843" spans="4:14" ht="15" customHeight="1" x14ac:dyDescent="0.3">
      <c r="D843" s="102"/>
      <c r="E843" s="102"/>
      <c r="F843" s="102"/>
      <c r="G843" s="102"/>
      <c r="H843" s="102"/>
      <c r="I843" s="102"/>
      <c r="J843" s="102"/>
      <c r="K843" s="102"/>
      <c r="L843" s="102"/>
      <c r="M843" s="104"/>
      <c r="N843" s="102"/>
    </row>
    <row r="844" spans="4:14" ht="15" customHeight="1" x14ac:dyDescent="0.3">
      <c r="D844" s="102"/>
      <c r="E844" s="102"/>
      <c r="F844" s="102"/>
      <c r="G844" s="102"/>
      <c r="H844" s="102"/>
      <c r="I844" s="102"/>
      <c r="J844" s="102"/>
      <c r="K844" s="102"/>
      <c r="L844" s="102"/>
      <c r="M844" s="104"/>
      <c r="N844" s="102"/>
    </row>
    <row r="845" spans="4:14" ht="15" customHeight="1" x14ac:dyDescent="0.3">
      <c r="D845" s="102"/>
      <c r="E845" s="102"/>
      <c r="F845" s="102"/>
      <c r="G845" s="102"/>
      <c r="H845" s="102"/>
      <c r="I845" s="102"/>
      <c r="J845" s="102"/>
      <c r="K845" s="102"/>
      <c r="L845" s="102"/>
      <c r="M845" s="104"/>
      <c r="N845" s="102"/>
    </row>
    <row r="846" spans="4:14" ht="15" customHeight="1" x14ac:dyDescent="0.3">
      <c r="D846" s="102"/>
      <c r="E846" s="102"/>
      <c r="F846" s="102"/>
      <c r="G846" s="102"/>
      <c r="H846" s="102"/>
      <c r="I846" s="102"/>
      <c r="J846" s="102"/>
      <c r="K846" s="102"/>
      <c r="L846" s="102"/>
      <c r="M846" s="104"/>
      <c r="N846" s="102"/>
    </row>
    <row r="847" spans="4:14" ht="15" customHeight="1" x14ac:dyDescent="0.3">
      <c r="D847" s="102"/>
      <c r="E847" s="102"/>
      <c r="F847" s="102"/>
      <c r="G847" s="102"/>
      <c r="H847" s="102"/>
      <c r="I847" s="102"/>
      <c r="J847" s="102"/>
      <c r="K847" s="102"/>
      <c r="L847" s="102"/>
      <c r="M847" s="104"/>
      <c r="N847" s="102"/>
    </row>
    <row r="848" spans="4:14" ht="15" customHeight="1" x14ac:dyDescent="0.3">
      <c r="D848" s="102"/>
      <c r="E848" s="102"/>
      <c r="F848" s="102"/>
      <c r="G848" s="102"/>
      <c r="H848" s="102"/>
      <c r="I848" s="102"/>
      <c r="J848" s="102"/>
      <c r="K848" s="102"/>
      <c r="L848" s="102"/>
      <c r="M848" s="104"/>
      <c r="N848" s="102"/>
    </row>
    <row r="849" spans="4:14" ht="15" customHeight="1" x14ac:dyDescent="0.3">
      <c r="D849" s="102"/>
      <c r="E849" s="102"/>
      <c r="F849" s="102"/>
      <c r="G849" s="102"/>
      <c r="H849" s="102"/>
      <c r="I849" s="102"/>
      <c r="J849" s="102"/>
      <c r="K849" s="102"/>
      <c r="L849" s="102"/>
      <c r="M849" s="104"/>
      <c r="N849" s="102"/>
    </row>
    <row r="850" spans="4:14" ht="15" customHeight="1" x14ac:dyDescent="0.3">
      <c r="D850" s="102"/>
      <c r="E850" s="102"/>
      <c r="F850" s="102"/>
      <c r="G850" s="102"/>
      <c r="H850" s="102"/>
      <c r="I850" s="102"/>
      <c r="J850" s="102"/>
      <c r="K850" s="102"/>
      <c r="L850" s="102"/>
      <c r="M850" s="104"/>
      <c r="N850" s="102"/>
    </row>
    <row r="851" spans="4:14" ht="15" customHeight="1" x14ac:dyDescent="0.3">
      <c r="D851" s="102"/>
      <c r="E851" s="102"/>
      <c r="F851" s="102"/>
      <c r="G851" s="102"/>
      <c r="H851" s="102"/>
      <c r="I851" s="102"/>
      <c r="J851" s="102"/>
      <c r="K851" s="102"/>
      <c r="L851" s="102"/>
      <c r="M851" s="104"/>
      <c r="N851" s="102"/>
    </row>
    <row r="852" spans="4:14" ht="15" customHeight="1" x14ac:dyDescent="0.3">
      <c r="D852" s="102"/>
      <c r="E852" s="102"/>
      <c r="F852" s="102"/>
      <c r="G852" s="102"/>
      <c r="H852" s="102"/>
      <c r="I852" s="102"/>
      <c r="J852" s="102"/>
      <c r="K852" s="102"/>
      <c r="L852" s="102"/>
      <c r="M852" s="104"/>
      <c r="N852" s="102"/>
    </row>
    <row r="853" spans="4:14" ht="15" customHeight="1" x14ac:dyDescent="0.3">
      <c r="D853" s="102"/>
      <c r="E853" s="102"/>
      <c r="F853" s="102"/>
      <c r="G853" s="102"/>
      <c r="H853" s="102"/>
      <c r="I853" s="102"/>
      <c r="J853" s="102"/>
      <c r="K853" s="102"/>
      <c r="L853" s="102"/>
      <c r="M853" s="104"/>
      <c r="N853" s="102"/>
    </row>
    <row r="854" spans="4:14" ht="15" customHeight="1" x14ac:dyDescent="0.3">
      <c r="D854" s="102"/>
      <c r="E854" s="102"/>
      <c r="F854" s="102"/>
      <c r="G854" s="102"/>
      <c r="H854" s="102"/>
      <c r="I854" s="102"/>
      <c r="J854" s="102"/>
      <c r="K854" s="102"/>
      <c r="L854" s="102"/>
      <c r="M854" s="104"/>
      <c r="N854" s="102"/>
    </row>
    <row r="855" spans="4:14" ht="15" customHeight="1" x14ac:dyDescent="0.3">
      <c r="D855" s="102"/>
      <c r="E855" s="102"/>
      <c r="F855" s="102"/>
      <c r="G855" s="102"/>
      <c r="H855" s="102"/>
      <c r="I855" s="102"/>
      <c r="J855" s="102"/>
      <c r="K855" s="102"/>
      <c r="L855" s="102"/>
      <c r="M855" s="104"/>
      <c r="N855" s="102"/>
    </row>
    <row r="856" spans="4:14" ht="15" customHeight="1" x14ac:dyDescent="0.3">
      <c r="D856" s="102"/>
      <c r="E856" s="102"/>
      <c r="F856" s="102"/>
      <c r="G856" s="102"/>
      <c r="H856" s="102"/>
      <c r="I856" s="102"/>
      <c r="J856" s="102"/>
      <c r="K856" s="102"/>
      <c r="L856" s="102"/>
      <c r="M856" s="104"/>
      <c r="N856" s="102"/>
    </row>
    <row r="857" spans="4:14" ht="15" customHeight="1" x14ac:dyDescent="0.3">
      <c r="D857" s="102"/>
      <c r="E857" s="102"/>
      <c r="F857" s="102"/>
      <c r="G857" s="102"/>
      <c r="H857" s="102"/>
      <c r="I857" s="102"/>
      <c r="J857" s="102"/>
      <c r="K857" s="102"/>
      <c r="L857" s="102"/>
      <c r="M857" s="104"/>
      <c r="N857" s="102"/>
    </row>
    <row r="858" spans="4:14" ht="15" customHeight="1" x14ac:dyDescent="0.3">
      <c r="D858" s="102"/>
      <c r="E858" s="102"/>
      <c r="F858" s="102"/>
      <c r="G858" s="102"/>
      <c r="H858" s="102"/>
      <c r="I858" s="102"/>
      <c r="J858" s="102"/>
      <c r="K858" s="102"/>
      <c r="L858" s="102"/>
      <c r="M858" s="104"/>
      <c r="N858" s="102"/>
    </row>
    <row r="859" spans="4:14" ht="15" customHeight="1" x14ac:dyDescent="0.3">
      <c r="D859" s="102"/>
      <c r="E859" s="102"/>
      <c r="F859" s="102"/>
      <c r="G859" s="102"/>
      <c r="H859" s="102"/>
      <c r="I859" s="102"/>
      <c r="J859" s="102"/>
      <c r="K859" s="102"/>
      <c r="L859" s="102"/>
      <c r="M859" s="104"/>
      <c r="N859" s="102"/>
    </row>
    <row r="860" spans="4:14" ht="15" customHeight="1" x14ac:dyDescent="0.3">
      <c r="D860" s="102"/>
      <c r="E860" s="102"/>
      <c r="F860" s="102"/>
      <c r="G860" s="102"/>
      <c r="H860" s="102"/>
      <c r="I860" s="102"/>
      <c r="J860" s="102"/>
      <c r="K860" s="102"/>
      <c r="L860" s="102"/>
      <c r="M860" s="104"/>
      <c r="N860" s="102"/>
    </row>
    <row r="861" spans="4:14" ht="15" customHeight="1" x14ac:dyDescent="0.3">
      <c r="D861" s="102"/>
      <c r="E861" s="102"/>
      <c r="F861" s="102"/>
      <c r="G861" s="102"/>
      <c r="H861" s="102"/>
      <c r="I861" s="102"/>
      <c r="J861" s="102"/>
      <c r="K861" s="102"/>
      <c r="L861" s="102"/>
      <c r="M861" s="104"/>
      <c r="N861" s="102"/>
    </row>
    <row r="862" spans="4:14" ht="15" customHeight="1" x14ac:dyDescent="0.3">
      <c r="D862" s="102"/>
      <c r="E862" s="102"/>
      <c r="F862" s="102"/>
      <c r="G862" s="102"/>
      <c r="H862" s="102"/>
      <c r="I862" s="102"/>
      <c r="J862" s="102"/>
      <c r="K862" s="102"/>
      <c r="L862" s="102"/>
      <c r="M862" s="104"/>
      <c r="N862" s="102"/>
    </row>
    <row r="863" spans="4:14" ht="15" customHeight="1" x14ac:dyDescent="0.3">
      <c r="D863" s="102"/>
      <c r="E863" s="102"/>
      <c r="F863" s="102"/>
      <c r="G863" s="102"/>
      <c r="H863" s="102"/>
      <c r="I863" s="102"/>
      <c r="J863" s="102"/>
      <c r="K863" s="102"/>
      <c r="L863" s="102"/>
      <c r="M863" s="104"/>
      <c r="N863" s="102"/>
    </row>
    <row r="864" spans="4:14" ht="15" customHeight="1" x14ac:dyDescent="0.3">
      <c r="D864" s="102"/>
      <c r="E864" s="102"/>
      <c r="F864" s="102"/>
      <c r="G864" s="102"/>
      <c r="H864" s="102"/>
      <c r="I864" s="102"/>
      <c r="J864" s="102"/>
      <c r="K864" s="102"/>
      <c r="L864" s="102"/>
      <c r="M864" s="104"/>
      <c r="N864" s="102"/>
    </row>
    <row r="865" spans="4:14" ht="15" customHeight="1" x14ac:dyDescent="0.3">
      <c r="D865" s="102"/>
      <c r="E865" s="102"/>
      <c r="F865" s="102"/>
      <c r="G865" s="102"/>
      <c r="H865" s="102"/>
      <c r="I865" s="102"/>
      <c r="J865" s="102"/>
      <c r="K865" s="102"/>
      <c r="L865" s="102"/>
      <c r="M865" s="104"/>
      <c r="N865" s="102"/>
    </row>
    <row r="866" spans="4:14" ht="15" customHeight="1" x14ac:dyDescent="0.3">
      <c r="D866" s="102"/>
      <c r="E866" s="102"/>
      <c r="F866" s="102"/>
      <c r="G866" s="102"/>
      <c r="H866" s="102"/>
      <c r="I866" s="102"/>
      <c r="J866" s="102"/>
      <c r="K866" s="102"/>
      <c r="L866" s="102"/>
      <c r="M866" s="104"/>
      <c r="N866" s="102"/>
    </row>
    <row r="867" spans="4:14" ht="15" customHeight="1" x14ac:dyDescent="0.3">
      <c r="D867" s="102"/>
      <c r="E867" s="102"/>
      <c r="F867" s="102"/>
      <c r="G867" s="102"/>
      <c r="H867" s="102"/>
      <c r="I867" s="102"/>
      <c r="J867" s="102"/>
      <c r="K867" s="102"/>
      <c r="L867" s="102"/>
      <c r="M867" s="104"/>
      <c r="N867" s="102"/>
    </row>
    <row r="868" spans="4:14" ht="15" customHeight="1" x14ac:dyDescent="0.3">
      <c r="D868" s="102"/>
      <c r="E868" s="102"/>
      <c r="F868" s="102"/>
      <c r="G868" s="102"/>
      <c r="H868" s="102"/>
      <c r="I868" s="102"/>
      <c r="J868" s="102"/>
      <c r="K868" s="102"/>
      <c r="L868" s="102"/>
      <c r="M868" s="104"/>
      <c r="N868" s="102"/>
    </row>
    <row r="869" spans="4:14" ht="15" customHeight="1" x14ac:dyDescent="0.3">
      <c r="D869" s="102"/>
      <c r="E869" s="102"/>
      <c r="F869" s="102"/>
      <c r="G869" s="102"/>
      <c r="H869" s="102"/>
      <c r="I869" s="102"/>
      <c r="J869" s="102"/>
      <c r="K869" s="102"/>
      <c r="L869" s="102"/>
      <c r="M869" s="104"/>
      <c r="N869" s="102"/>
    </row>
    <row r="870" spans="4:14" ht="15" customHeight="1" x14ac:dyDescent="0.3">
      <c r="D870" s="102"/>
      <c r="E870" s="102"/>
      <c r="F870" s="102"/>
      <c r="G870" s="102"/>
      <c r="H870" s="102"/>
      <c r="I870" s="102"/>
      <c r="J870" s="102"/>
      <c r="K870" s="102"/>
      <c r="L870" s="102"/>
      <c r="M870" s="104"/>
      <c r="N870" s="102"/>
    </row>
    <row r="871" spans="4:14" ht="15" customHeight="1" x14ac:dyDescent="0.3">
      <c r="D871" s="102"/>
      <c r="E871" s="102"/>
      <c r="F871" s="102"/>
      <c r="G871" s="102"/>
      <c r="H871" s="102"/>
      <c r="I871" s="102"/>
      <c r="J871" s="102"/>
      <c r="K871" s="102"/>
      <c r="L871" s="102"/>
      <c r="M871" s="104"/>
      <c r="N871" s="102"/>
    </row>
    <row r="872" spans="4:14" ht="15" customHeight="1" x14ac:dyDescent="0.3">
      <c r="D872" s="102"/>
      <c r="E872" s="102"/>
      <c r="F872" s="102"/>
      <c r="G872" s="102"/>
      <c r="H872" s="102"/>
      <c r="I872" s="102"/>
      <c r="J872" s="102"/>
      <c r="K872" s="102"/>
      <c r="L872" s="102"/>
      <c r="M872" s="104"/>
      <c r="N872" s="102"/>
    </row>
    <row r="873" spans="4:14" ht="15" customHeight="1" x14ac:dyDescent="0.3">
      <c r="D873" s="102"/>
      <c r="E873" s="102"/>
      <c r="F873" s="102"/>
      <c r="G873" s="102"/>
      <c r="H873" s="102"/>
      <c r="I873" s="102"/>
      <c r="J873" s="102"/>
      <c r="K873" s="102"/>
      <c r="L873" s="102"/>
      <c r="M873" s="104"/>
      <c r="N873" s="102"/>
    </row>
    <row r="874" spans="4:14" ht="15" customHeight="1" x14ac:dyDescent="0.3">
      <c r="D874" s="102"/>
      <c r="E874" s="102"/>
      <c r="F874" s="102"/>
      <c r="G874" s="102"/>
      <c r="H874" s="102"/>
      <c r="I874" s="102"/>
      <c r="J874" s="102"/>
      <c r="K874" s="102"/>
      <c r="L874" s="102"/>
      <c r="M874" s="104"/>
      <c r="N874" s="102"/>
    </row>
    <row r="875" spans="4:14" ht="15" customHeight="1" x14ac:dyDescent="0.3">
      <c r="D875" s="102"/>
      <c r="E875" s="102"/>
      <c r="F875" s="102"/>
      <c r="G875" s="102"/>
      <c r="H875" s="102"/>
      <c r="I875" s="102"/>
      <c r="J875" s="102"/>
      <c r="K875" s="102"/>
      <c r="L875" s="102"/>
      <c r="M875" s="104"/>
      <c r="N875" s="102"/>
    </row>
    <row r="876" spans="4:14" ht="15" customHeight="1" x14ac:dyDescent="0.3">
      <c r="D876" s="102"/>
      <c r="E876" s="102"/>
      <c r="F876" s="102"/>
      <c r="G876" s="102"/>
      <c r="H876" s="102"/>
      <c r="I876" s="102"/>
      <c r="J876" s="102"/>
      <c r="K876" s="102"/>
      <c r="L876" s="102"/>
      <c r="M876" s="104"/>
      <c r="N876" s="102"/>
    </row>
  </sheetData>
  <autoFilter ref="A4:M876"/>
  <mergeCells count="11">
    <mergeCell ref="A9:M9"/>
    <mergeCell ref="F14:I14"/>
    <mergeCell ref="A12:A13"/>
    <mergeCell ref="B12:B13"/>
    <mergeCell ref="J12:J13"/>
    <mergeCell ref="F12:I13"/>
    <mergeCell ref="E12:E13"/>
    <mergeCell ref="D12:D13"/>
    <mergeCell ref="C12:C13"/>
    <mergeCell ref="K12:K13"/>
    <mergeCell ref="L12:M12"/>
  </mergeCells>
  <printOptions horizontalCentered="1"/>
  <pageMargins left="1.1811023622047245" right="0.39370078740157483" top="0.78740157480314965" bottom="0.78740157480314965" header="0.31496062992125984" footer="0.31496062992125984"/>
  <pageSetup paperSize="9" scale="62" fitToHeight="0" orientation="portrait" blackAndWhite="1" r:id="rId1"/>
  <headerFooter differentFirst="1">
    <oddHeader>&amp;C&amp;"Times New Roman,обычный"&amp;12&amp;P</oddHeader>
  </headerFooter>
  <rowBreaks count="3" manualBreakCount="3">
    <brk id="716" max="12" man="1"/>
    <brk id="736" max="12" man="1"/>
    <brk id="752" max="1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Q649"/>
  <sheetViews>
    <sheetView topLeftCell="A575" zoomScale="80" zoomScaleNormal="80" workbookViewId="0">
      <selection activeCell="A588" sqref="A588:XFD649"/>
    </sheetView>
  </sheetViews>
  <sheetFormatPr defaultColWidth="8.88671875" defaultRowHeight="14.4" x14ac:dyDescent="0.3"/>
  <cols>
    <col min="1" max="1" width="4.6640625" style="8" customWidth="1"/>
    <col min="2" max="2" width="54.44140625" style="8" customWidth="1"/>
    <col min="3" max="3" width="5.5546875" style="8" customWidth="1"/>
    <col min="4" max="4" width="3.6640625" style="8" customWidth="1"/>
    <col min="5" max="5" width="4" style="8" customWidth="1"/>
    <col min="6" max="6" width="3.33203125" style="8" customWidth="1"/>
    <col min="7" max="7" width="2.44140625" style="8" customWidth="1"/>
    <col min="8" max="8" width="2.6640625" style="8" customWidth="1"/>
    <col min="9" max="9" width="7.6640625" style="8" customWidth="1"/>
    <col min="10" max="10" width="5" style="8" customWidth="1"/>
    <col min="11" max="11" width="15" style="8" hidden="1" customWidth="1"/>
    <col min="12" max="12" width="12.44140625" style="8" customWidth="1"/>
    <col min="13" max="13" width="14.33203125" style="153" customWidth="1"/>
    <col min="14" max="14" width="13.6640625" style="153" customWidth="1"/>
    <col min="15" max="16" width="8.88671875" style="8" customWidth="1"/>
    <col min="17" max="17" width="19.33203125" style="8" customWidth="1"/>
    <col min="18" max="16384" width="8.88671875" style="8"/>
  </cols>
  <sheetData>
    <row r="1" spans="1:14" ht="18" x14ac:dyDescent="0.35">
      <c r="N1" s="201" t="s">
        <v>676</v>
      </c>
    </row>
    <row r="2" spans="1:14" ht="18" x14ac:dyDescent="0.35">
      <c r="N2" s="201" t="s">
        <v>796</v>
      </c>
    </row>
    <row r="4" spans="1:14" ht="18" x14ac:dyDescent="0.35">
      <c r="H4" s="50"/>
      <c r="I4" s="55"/>
      <c r="J4" s="50"/>
      <c r="K4" s="50"/>
      <c r="L4" s="50"/>
      <c r="M4" s="50"/>
      <c r="N4" s="55" t="s">
        <v>677</v>
      </c>
    </row>
    <row r="5" spans="1:14" ht="18.75" customHeight="1" x14ac:dyDescent="0.35">
      <c r="H5" s="50"/>
      <c r="I5" s="55"/>
      <c r="J5" s="50"/>
      <c r="K5" s="50"/>
      <c r="L5" s="50"/>
      <c r="M5" s="50"/>
      <c r="N5" s="55" t="s">
        <v>733</v>
      </c>
    </row>
    <row r="9" spans="1:14" ht="17.399999999999999" customHeight="1" x14ac:dyDescent="0.3">
      <c r="A9" s="697" t="s">
        <v>667</v>
      </c>
      <c r="B9" s="697"/>
      <c r="C9" s="697"/>
      <c r="D9" s="697"/>
      <c r="E9" s="697"/>
      <c r="F9" s="697"/>
      <c r="G9" s="697"/>
      <c r="H9" s="697"/>
      <c r="I9" s="697"/>
      <c r="J9" s="697"/>
      <c r="K9" s="697"/>
      <c r="L9" s="697"/>
      <c r="M9" s="697"/>
      <c r="N9" s="697"/>
    </row>
    <row r="10" spans="1:14" ht="17.399999999999999" customHeight="1" x14ac:dyDescent="0.3">
      <c r="A10" s="658"/>
      <c r="B10" s="658"/>
      <c r="C10" s="658"/>
      <c r="D10" s="658"/>
      <c r="E10" s="658"/>
      <c r="F10" s="658"/>
      <c r="G10" s="658"/>
      <c r="H10" s="658"/>
      <c r="I10" s="658"/>
      <c r="J10" s="658"/>
      <c r="K10" s="658"/>
      <c r="L10" s="658"/>
      <c r="M10" s="658"/>
      <c r="N10" s="658"/>
    </row>
    <row r="11" spans="1:14" ht="17.399999999999999" customHeight="1" x14ac:dyDescent="0.3">
      <c r="A11" s="658"/>
      <c r="B11" s="658"/>
      <c r="C11" s="658"/>
      <c r="D11" s="658"/>
      <c r="E11" s="658"/>
      <c r="F11" s="658"/>
      <c r="G11" s="658"/>
      <c r="H11" s="658"/>
      <c r="I11" s="658"/>
      <c r="J11" s="658"/>
      <c r="K11" s="658"/>
      <c r="L11" s="658"/>
      <c r="M11" s="658"/>
      <c r="N11" s="658"/>
    </row>
    <row r="12" spans="1:14" ht="18" x14ac:dyDescent="0.35">
      <c r="A12" s="9"/>
      <c r="B12" s="10"/>
      <c r="C12" s="11"/>
      <c r="D12" s="11"/>
      <c r="E12" s="11"/>
      <c r="F12" s="11"/>
      <c r="G12" s="9"/>
      <c r="H12" s="12"/>
      <c r="I12" s="13"/>
      <c r="J12" s="14"/>
      <c r="K12" s="14"/>
      <c r="L12" s="14"/>
      <c r="N12" s="154" t="s">
        <v>24</v>
      </c>
    </row>
    <row r="13" spans="1:14" ht="18" customHeight="1" x14ac:dyDescent="0.3">
      <c r="A13" s="717" t="s">
        <v>25</v>
      </c>
      <c r="B13" s="718" t="s">
        <v>26</v>
      </c>
      <c r="C13" s="719" t="s">
        <v>27</v>
      </c>
      <c r="D13" s="719" t="s">
        <v>28</v>
      </c>
      <c r="E13" s="719" t="s">
        <v>29</v>
      </c>
      <c r="F13" s="720" t="s">
        <v>30</v>
      </c>
      <c r="G13" s="719"/>
      <c r="H13" s="719"/>
      <c r="I13" s="719"/>
      <c r="J13" s="719" t="s">
        <v>31</v>
      </c>
      <c r="K13" s="725" t="s">
        <v>695</v>
      </c>
      <c r="L13" s="723" t="s">
        <v>534</v>
      </c>
      <c r="M13" s="724"/>
      <c r="N13" s="721" t="s">
        <v>654</v>
      </c>
    </row>
    <row r="14" spans="1:14" ht="35.4" customHeight="1" x14ac:dyDescent="0.35">
      <c r="A14" s="717"/>
      <c r="B14" s="718"/>
      <c r="C14" s="719"/>
      <c r="D14" s="719"/>
      <c r="E14" s="719"/>
      <c r="F14" s="720"/>
      <c r="G14" s="719"/>
      <c r="H14" s="719"/>
      <c r="I14" s="719"/>
      <c r="J14" s="719"/>
      <c r="K14" s="726"/>
      <c r="L14" s="630" t="s">
        <v>739</v>
      </c>
      <c r="M14" s="631" t="s">
        <v>740</v>
      </c>
      <c r="N14" s="722"/>
    </row>
    <row r="15" spans="1:14" ht="18" x14ac:dyDescent="0.35">
      <c r="A15" s="15">
        <v>1</v>
      </c>
      <c r="B15" s="16">
        <v>2</v>
      </c>
      <c r="C15" s="17" t="s">
        <v>32</v>
      </c>
      <c r="D15" s="17" t="s">
        <v>33</v>
      </c>
      <c r="E15" s="17" t="s">
        <v>34</v>
      </c>
      <c r="F15" s="699" t="s">
        <v>35</v>
      </c>
      <c r="G15" s="699"/>
      <c r="H15" s="699"/>
      <c r="I15" s="700"/>
      <c r="J15" s="17" t="s">
        <v>36</v>
      </c>
      <c r="K15" s="17"/>
      <c r="L15" s="17" t="s">
        <v>569</v>
      </c>
      <c r="M15" s="46">
        <v>9</v>
      </c>
      <c r="N15" s="46">
        <v>10</v>
      </c>
    </row>
    <row r="16" spans="1:14" ht="25.2" customHeight="1" x14ac:dyDescent="0.3">
      <c r="A16" s="18">
        <v>1</v>
      </c>
      <c r="B16" s="155" t="s">
        <v>204</v>
      </c>
      <c r="C16" s="20"/>
      <c r="D16" s="21"/>
      <c r="E16" s="21"/>
      <c r="F16" s="23"/>
      <c r="G16" s="23"/>
      <c r="H16" s="23"/>
      <c r="I16" s="24"/>
      <c r="J16" s="21"/>
      <c r="K16" s="148">
        <f>K18+K172+K199+K209+K406+K469+K517+K549+K580+K271</f>
        <v>1593166.7000000002</v>
      </c>
      <c r="L16" s="148">
        <f>L18+L172+L199+L209+L406+L469+L517+L549+L580+L271</f>
        <v>6165.9</v>
      </c>
      <c r="M16" s="148">
        <f>M18+M172+M199+M209+M406+M469+M517+M549+M580+M271</f>
        <v>1599332.6</v>
      </c>
      <c r="N16" s="148">
        <f>N18+N172+N199+N209+N406+N469+N517+N549+N580+N271</f>
        <v>1598605.7999999998</v>
      </c>
    </row>
    <row r="17" spans="1:14" ht="14.4" customHeight="1" x14ac:dyDescent="0.3">
      <c r="A17" s="18"/>
      <c r="B17" s="19"/>
      <c r="C17" s="20"/>
      <c r="D17" s="21"/>
      <c r="E17" s="21"/>
      <c r="F17" s="23"/>
      <c r="G17" s="23"/>
      <c r="H17" s="23"/>
      <c r="I17" s="24"/>
      <c r="J17" s="21"/>
      <c r="K17" s="148"/>
      <c r="L17" s="148"/>
      <c r="M17" s="148"/>
      <c r="N17" s="148"/>
    </row>
    <row r="18" spans="1:14" s="156" customFormat="1" ht="34.799999999999997" x14ac:dyDescent="0.3">
      <c r="A18" s="151">
        <v>1</v>
      </c>
      <c r="B18" s="25" t="s">
        <v>0</v>
      </c>
      <c r="C18" s="26" t="s">
        <v>2</v>
      </c>
      <c r="D18" s="27"/>
      <c r="E18" s="27"/>
      <c r="F18" s="28"/>
      <c r="G18" s="29"/>
      <c r="H18" s="29"/>
      <c r="I18" s="30"/>
      <c r="J18" s="27"/>
      <c r="K18" s="47">
        <f>K19+K83+K111+K158+K152</f>
        <v>133368.4</v>
      </c>
      <c r="L18" s="47">
        <f>L19+L83+L111+L158+L152</f>
        <v>467.30000000000007</v>
      </c>
      <c r="M18" s="47">
        <f>M19+M83+M111+M158+M152</f>
        <v>133835.70000000001</v>
      </c>
      <c r="N18" s="47">
        <f>N19+N83+N111+N158+N152</f>
        <v>133526.1</v>
      </c>
    </row>
    <row r="19" spans="1:14" s="157" customFormat="1" ht="18" x14ac:dyDescent="0.35">
      <c r="A19" s="18"/>
      <c r="B19" s="31" t="s">
        <v>38</v>
      </c>
      <c r="C19" s="32" t="s">
        <v>2</v>
      </c>
      <c r="D19" s="17" t="s">
        <v>39</v>
      </c>
      <c r="E19" s="17"/>
      <c r="F19" s="659"/>
      <c r="G19" s="660"/>
      <c r="H19" s="660"/>
      <c r="I19" s="661"/>
      <c r="J19" s="17"/>
      <c r="K19" s="33">
        <f>K20+K26+K55+K49+K60</f>
        <v>88248.999999999971</v>
      </c>
      <c r="L19" s="33">
        <f>L20+L26+L55+L49+L60</f>
        <v>467.30000000000007</v>
      </c>
      <c r="M19" s="33">
        <f>M20+M26+M55+M49+M60</f>
        <v>88716.299999999988</v>
      </c>
      <c r="N19" s="33">
        <f>N20+N26+N55+N49+N60</f>
        <v>88753.9</v>
      </c>
    </row>
    <row r="20" spans="1:14" s="152" customFormat="1" ht="54" x14ac:dyDescent="0.35">
      <c r="A20" s="18"/>
      <c r="B20" s="31" t="s">
        <v>40</v>
      </c>
      <c r="C20" s="32" t="s">
        <v>2</v>
      </c>
      <c r="D20" s="17" t="s">
        <v>39</v>
      </c>
      <c r="E20" s="17" t="s">
        <v>41</v>
      </c>
      <c r="F20" s="659"/>
      <c r="G20" s="660"/>
      <c r="H20" s="660"/>
      <c r="I20" s="661"/>
      <c r="J20" s="17"/>
      <c r="K20" s="33">
        <f t="shared" ref="K20:N24" si="0">K21</f>
        <v>2128.5</v>
      </c>
      <c r="L20" s="33">
        <f t="shared" si="0"/>
        <v>0</v>
      </c>
      <c r="M20" s="33">
        <f t="shared" si="0"/>
        <v>2128.5</v>
      </c>
      <c r="N20" s="33">
        <f t="shared" si="0"/>
        <v>2128.5</v>
      </c>
    </row>
    <row r="21" spans="1:14" s="152" customFormat="1" ht="59.25" customHeight="1" x14ac:dyDescent="0.35">
      <c r="A21" s="18"/>
      <c r="B21" s="31" t="s">
        <v>42</v>
      </c>
      <c r="C21" s="32" t="s">
        <v>2</v>
      </c>
      <c r="D21" s="17" t="s">
        <v>39</v>
      </c>
      <c r="E21" s="17" t="s">
        <v>41</v>
      </c>
      <c r="F21" s="659" t="s">
        <v>43</v>
      </c>
      <c r="G21" s="660" t="s">
        <v>44</v>
      </c>
      <c r="H21" s="660" t="s">
        <v>45</v>
      </c>
      <c r="I21" s="661" t="s">
        <v>46</v>
      </c>
      <c r="J21" s="17"/>
      <c r="K21" s="33">
        <f t="shared" si="0"/>
        <v>2128.5</v>
      </c>
      <c r="L21" s="33">
        <f t="shared" si="0"/>
        <v>0</v>
      </c>
      <c r="M21" s="33">
        <f t="shared" si="0"/>
        <v>2128.5</v>
      </c>
      <c r="N21" s="33">
        <f t="shared" si="0"/>
        <v>2128.5</v>
      </c>
    </row>
    <row r="22" spans="1:14" s="152" customFormat="1" ht="36" x14ac:dyDescent="0.35">
      <c r="A22" s="18"/>
      <c r="B22" s="31" t="s">
        <v>345</v>
      </c>
      <c r="C22" s="32" t="s">
        <v>2</v>
      </c>
      <c r="D22" s="17" t="s">
        <v>39</v>
      </c>
      <c r="E22" s="17" t="s">
        <v>41</v>
      </c>
      <c r="F22" s="659" t="s">
        <v>43</v>
      </c>
      <c r="G22" s="660" t="s">
        <v>47</v>
      </c>
      <c r="H22" s="660" t="s">
        <v>45</v>
      </c>
      <c r="I22" s="661" t="s">
        <v>46</v>
      </c>
      <c r="J22" s="17"/>
      <c r="K22" s="33">
        <f t="shared" si="0"/>
        <v>2128.5</v>
      </c>
      <c r="L22" s="33">
        <f t="shared" si="0"/>
        <v>0</v>
      </c>
      <c r="M22" s="33">
        <f t="shared" si="0"/>
        <v>2128.5</v>
      </c>
      <c r="N22" s="33">
        <f t="shared" si="0"/>
        <v>2128.5</v>
      </c>
    </row>
    <row r="23" spans="1:14" s="152" customFormat="1" ht="54" x14ac:dyDescent="0.35">
      <c r="A23" s="18"/>
      <c r="B23" s="31" t="s">
        <v>48</v>
      </c>
      <c r="C23" s="32" t="s">
        <v>2</v>
      </c>
      <c r="D23" s="17" t="s">
        <v>39</v>
      </c>
      <c r="E23" s="17" t="s">
        <v>41</v>
      </c>
      <c r="F23" s="659" t="s">
        <v>43</v>
      </c>
      <c r="G23" s="660" t="s">
        <v>47</v>
      </c>
      <c r="H23" s="660" t="s">
        <v>39</v>
      </c>
      <c r="I23" s="661" t="s">
        <v>46</v>
      </c>
      <c r="J23" s="17"/>
      <c r="K23" s="33">
        <f t="shared" si="0"/>
        <v>2128.5</v>
      </c>
      <c r="L23" s="33">
        <f t="shared" si="0"/>
        <v>0</v>
      </c>
      <c r="M23" s="33">
        <f t="shared" si="0"/>
        <v>2128.5</v>
      </c>
      <c r="N23" s="33">
        <f t="shared" si="0"/>
        <v>2128.5</v>
      </c>
    </row>
    <row r="24" spans="1:14" s="152" customFormat="1" ht="36" x14ac:dyDescent="0.35">
      <c r="A24" s="18"/>
      <c r="B24" s="31" t="s">
        <v>49</v>
      </c>
      <c r="C24" s="32" t="s">
        <v>2</v>
      </c>
      <c r="D24" s="17" t="s">
        <v>39</v>
      </c>
      <c r="E24" s="17" t="s">
        <v>41</v>
      </c>
      <c r="F24" s="659" t="s">
        <v>43</v>
      </c>
      <c r="G24" s="660" t="s">
        <v>47</v>
      </c>
      <c r="H24" s="660" t="s">
        <v>39</v>
      </c>
      <c r="I24" s="661" t="s">
        <v>50</v>
      </c>
      <c r="J24" s="17"/>
      <c r="K24" s="33">
        <f t="shared" si="0"/>
        <v>2128.5</v>
      </c>
      <c r="L24" s="33">
        <f t="shared" si="0"/>
        <v>0</v>
      </c>
      <c r="M24" s="33">
        <f t="shared" si="0"/>
        <v>2128.5</v>
      </c>
      <c r="N24" s="33">
        <f t="shared" si="0"/>
        <v>2128.5</v>
      </c>
    </row>
    <row r="25" spans="1:14" s="152" customFormat="1" ht="108" x14ac:dyDescent="0.35">
      <c r="A25" s="18"/>
      <c r="B25" s="31" t="s">
        <v>51</v>
      </c>
      <c r="C25" s="32" t="s">
        <v>2</v>
      </c>
      <c r="D25" s="17" t="s">
        <v>39</v>
      </c>
      <c r="E25" s="17" t="s">
        <v>41</v>
      </c>
      <c r="F25" s="659" t="s">
        <v>43</v>
      </c>
      <c r="G25" s="660" t="s">
        <v>47</v>
      </c>
      <c r="H25" s="660" t="s">
        <v>39</v>
      </c>
      <c r="I25" s="661" t="s">
        <v>50</v>
      </c>
      <c r="J25" s="17" t="s">
        <v>52</v>
      </c>
      <c r="K25" s="33">
        <v>2128.5</v>
      </c>
      <c r="L25" s="33">
        <f>M25-K25</f>
        <v>0</v>
      </c>
      <c r="M25" s="33">
        <v>2128.5</v>
      </c>
      <c r="N25" s="33">
        <v>2128.5</v>
      </c>
    </row>
    <row r="26" spans="1:14" s="157" customFormat="1" ht="77.25" customHeight="1" x14ac:dyDescent="0.35">
      <c r="A26" s="18"/>
      <c r="B26" s="31" t="s">
        <v>53</v>
      </c>
      <c r="C26" s="32" t="s">
        <v>2</v>
      </c>
      <c r="D26" s="17" t="s">
        <v>39</v>
      </c>
      <c r="E26" s="17" t="s">
        <v>54</v>
      </c>
      <c r="F26" s="659"/>
      <c r="G26" s="660"/>
      <c r="H26" s="660"/>
      <c r="I26" s="661"/>
      <c r="J26" s="17"/>
      <c r="K26" s="33">
        <f t="shared" ref="K26:N27" si="1">K27</f>
        <v>76352.699999999968</v>
      </c>
      <c r="L26" s="33">
        <f t="shared" si="1"/>
        <v>467.30000000000007</v>
      </c>
      <c r="M26" s="33">
        <f t="shared" si="1"/>
        <v>76819.999999999985</v>
      </c>
      <c r="N26" s="33">
        <f t="shared" si="1"/>
        <v>76860.799999999988</v>
      </c>
    </row>
    <row r="27" spans="1:14" s="157" customFormat="1" ht="54" x14ac:dyDescent="0.35">
      <c r="A27" s="18"/>
      <c r="B27" s="31" t="s">
        <v>55</v>
      </c>
      <c r="C27" s="32" t="s">
        <v>2</v>
      </c>
      <c r="D27" s="17" t="s">
        <v>39</v>
      </c>
      <c r="E27" s="17" t="s">
        <v>54</v>
      </c>
      <c r="F27" s="659" t="s">
        <v>43</v>
      </c>
      <c r="G27" s="660" t="s">
        <v>44</v>
      </c>
      <c r="H27" s="660" t="s">
        <v>45</v>
      </c>
      <c r="I27" s="661" t="s">
        <v>46</v>
      </c>
      <c r="J27" s="17"/>
      <c r="K27" s="33">
        <f t="shared" si="1"/>
        <v>76352.699999999968</v>
      </c>
      <c r="L27" s="33">
        <f t="shared" si="1"/>
        <v>467.30000000000007</v>
      </c>
      <c r="M27" s="33">
        <f t="shared" si="1"/>
        <v>76819.999999999985</v>
      </c>
      <c r="N27" s="33">
        <f t="shared" si="1"/>
        <v>76860.799999999988</v>
      </c>
    </row>
    <row r="28" spans="1:14" s="14" customFormat="1" ht="36" x14ac:dyDescent="0.35">
      <c r="A28" s="18"/>
      <c r="B28" s="31" t="s">
        <v>345</v>
      </c>
      <c r="C28" s="32" t="s">
        <v>2</v>
      </c>
      <c r="D28" s="17" t="s">
        <v>39</v>
      </c>
      <c r="E28" s="17" t="s">
        <v>54</v>
      </c>
      <c r="F28" s="659" t="s">
        <v>43</v>
      </c>
      <c r="G28" s="660" t="s">
        <v>47</v>
      </c>
      <c r="H28" s="660" t="s">
        <v>45</v>
      </c>
      <c r="I28" s="661" t="s">
        <v>46</v>
      </c>
      <c r="J28" s="17"/>
      <c r="K28" s="33">
        <f>K29+K46</f>
        <v>76352.699999999968</v>
      </c>
      <c r="L28" s="33">
        <f>L29+L46</f>
        <v>467.30000000000007</v>
      </c>
      <c r="M28" s="33">
        <f>M29+M46</f>
        <v>76819.999999999985</v>
      </c>
      <c r="N28" s="33">
        <f>N29+N46</f>
        <v>76860.799999999988</v>
      </c>
    </row>
    <row r="29" spans="1:14" s="14" customFormat="1" ht="36" x14ac:dyDescent="0.35">
      <c r="A29" s="18"/>
      <c r="B29" s="31" t="s">
        <v>56</v>
      </c>
      <c r="C29" s="32" t="s">
        <v>2</v>
      </c>
      <c r="D29" s="17" t="s">
        <v>39</v>
      </c>
      <c r="E29" s="17" t="s">
        <v>54</v>
      </c>
      <c r="F29" s="659" t="s">
        <v>43</v>
      </c>
      <c r="G29" s="660" t="s">
        <v>47</v>
      </c>
      <c r="H29" s="660" t="s">
        <v>41</v>
      </c>
      <c r="I29" s="661" t="s">
        <v>46</v>
      </c>
      <c r="J29" s="17"/>
      <c r="K29" s="33">
        <f>K30+K36+K38+K34+K41+K43</f>
        <v>76225.299999999974</v>
      </c>
      <c r="L29" s="33">
        <f>L30+L36+L38+L34+L41+L43</f>
        <v>467.30000000000007</v>
      </c>
      <c r="M29" s="33">
        <f>M30+M36+M38+M34+M41+M43</f>
        <v>76692.599999999991</v>
      </c>
      <c r="N29" s="33">
        <f>N30+N36+N38+N34+N41+N43</f>
        <v>76776.399999999994</v>
      </c>
    </row>
    <row r="30" spans="1:14" s="152" customFormat="1" ht="36" x14ac:dyDescent="0.35">
      <c r="A30" s="18"/>
      <c r="B30" s="31" t="s">
        <v>49</v>
      </c>
      <c r="C30" s="32" t="s">
        <v>2</v>
      </c>
      <c r="D30" s="17" t="s">
        <v>39</v>
      </c>
      <c r="E30" s="17" t="s">
        <v>54</v>
      </c>
      <c r="F30" s="659" t="s">
        <v>43</v>
      </c>
      <c r="G30" s="660" t="s">
        <v>47</v>
      </c>
      <c r="H30" s="660" t="s">
        <v>41</v>
      </c>
      <c r="I30" s="661" t="s">
        <v>50</v>
      </c>
      <c r="J30" s="17"/>
      <c r="K30" s="33">
        <f>K31+K32+K33</f>
        <v>71195.999999999985</v>
      </c>
      <c r="L30" s="33">
        <f>L31+L32+L33</f>
        <v>0</v>
      </c>
      <c r="M30" s="33">
        <f>M31+M32+M33</f>
        <v>71195.999999999985</v>
      </c>
      <c r="N30" s="33">
        <f>N31+N32+N33</f>
        <v>71279.799999999988</v>
      </c>
    </row>
    <row r="31" spans="1:14" s="152" customFormat="1" ht="108" x14ac:dyDescent="0.35">
      <c r="A31" s="18"/>
      <c r="B31" s="31" t="s">
        <v>51</v>
      </c>
      <c r="C31" s="32" t="s">
        <v>2</v>
      </c>
      <c r="D31" s="17" t="s">
        <v>39</v>
      </c>
      <c r="E31" s="17" t="s">
        <v>54</v>
      </c>
      <c r="F31" s="659" t="s">
        <v>43</v>
      </c>
      <c r="G31" s="660" t="s">
        <v>47</v>
      </c>
      <c r="H31" s="660" t="s">
        <v>41</v>
      </c>
      <c r="I31" s="661" t="s">
        <v>50</v>
      </c>
      <c r="J31" s="17" t="s">
        <v>52</v>
      </c>
      <c r="K31" s="33">
        <f>62000+168.5+3209.7</f>
        <v>65378.2</v>
      </c>
      <c r="L31" s="33">
        <f>M31-K31</f>
        <v>0</v>
      </c>
      <c r="M31" s="33">
        <f>62000+168.5+3209.7</f>
        <v>65378.2</v>
      </c>
      <c r="N31" s="33">
        <f>62000+168.5+3209.7</f>
        <v>65378.2</v>
      </c>
    </row>
    <row r="32" spans="1:14" s="14" customFormat="1" ht="54" x14ac:dyDescent="0.35">
      <c r="A32" s="18"/>
      <c r="B32" s="31" t="s">
        <v>57</v>
      </c>
      <c r="C32" s="32" t="s">
        <v>2</v>
      </c>
      <c r="D32" s="17" t="s">
        <v>39</v>
      </c>
      <c r="E32" s="17" t="s">
        <v>54</v>
      </c>
      <c r="F32" s="659" t="s">
        <v>43</v>
      </c>
      <c r="G32" s="660" t="s">
        <v>47</v>
      </c>
      <c r="H32" s="660" t="s">
        <v>41</v>
      </c>
      <c r="I32" s="661" t="s">
        <v>50</v>
      </c>
      <c r="J32" s="17" t="s">
        <v>58</v>
      </c>
      <c r="K32" s="33">
        <f>6097.2-380.3</f>
        <v>5716.9</v>
      </c>
      <c r="L32" s="33">
        <f>M32-K32</f>
        <v>0</v>
      </c>
      <c r="M32" s="33">
        <f>6097.2-380.3</f>
        <v>5716.9</v>
      </c>
      <c r="N32" s="33">
        <f>6181-380.3</f>
        <v>5800.7</v>
      </c>
    </row>
    <row r="33" spans="1:14" s="152" customFormat="1" ht="18" x14ac:dyDescent="0.35">
      <c r="A33" s="18"/>
      <c r="B33" s="31" t="s">
        <v>59</v>
      </c>
      <c r="C33" s="32" t="s">
        <v>2</v>
      </c>
      <c r="D33" s="17" t="s">
        <v>39</v>
      </c>
      <c r="E33" s="17" t="s">
        <v>54</v>
      </c>
      <c r="F33" s="659" t="s">
        <v>43</v>
      </c>
      <c r="G33" s="660" t="s">
        <v>47</v>
      </c>
      <c r="H33" s="660" t="s">
        <v>41</v>
      </c>
      <c r="I33" s="661" t="s">
        <v>50</v>
      </c>
      <c r="J33" s="17" t="s">
        <v>60</v>
      </c>
      <c r="K33" s="33">
        <v>100.9</v>
      </c>
      <c r="L33" s="33">
        <f>M33-K33</f>
        <v>0</v>
      </c>
      <c r="M33" s="33">
        <v>100.9</v>
      </c>
      <c r="N33" s="33">
        <v>100.9</v>
      </c>
    </row>
    <row r="34" spans="1:14" s="157" customFormat="1" ht="94.5" customHeight="1" x14ac:dyDescent="0.35">
      <c r="A34" s="18"/>
      <c r="B34" s="31" t="s">
        <v>518</v>
      </c>
      <c r="C34" s="32" t="s">
        <v>2</v>
      </c>
      <c r="D34" s="17" t="s">
        <v>39</v>
      </c>
      <c r="E34" s="17" t="s">
        <v>54</v>
      </c>
      <c r="F34" s="659" t="s">
        <v>43</v>
      </c>
      <c r="G34" s="660" t="s">
        <v>47</v>
      </c>
      <c r="H34" s="660" t="s">
        <v>41</v>
      </c>
      <c r="I34" s="661" t="s">
        <v>267</v>
      </c>
      <c r="J34" s="17"/>
      <c r="K34" s="33">
        <f>K35</f>
        <v>63</v>
      </c>
      <c r="L34" s="33">
        <f>L35</f>
        <v>0</v>
      </c>
      <c r="M34" s="33">
        <f>M35</f>
        <v>63</v>
      </c>
      <c r="N34" s="33">
        <f>N35</f>
        <v>63</v>
      </c>
    </row>
    <row r="35" spans="1:14" s="157" customFormat="1" ht="54" x14ac:dyDescent="0.35">
      <c r="A35" s="18"/>
      <c r="B35" s="31" t="s">
        <v>57</v>
      </c>
      <c r="C35" s="32" t="s">
        <v>2</v>
      </c>
      <c r="D35" s="17" t="s">
        <v>39</v>
      </c>
      <c r="E35" s="17" t="s">
        <v>54</v>
      </c>
      <c r="F35" s="659" t="s">
        <v>43</v>
      </c>
      <c r="G35" s="660" t="s">
        <v>47</v>
      </c>
      <c r="H35" s="660" t="s">
        <v>41</v>
      </c>
      <c r="I35" s="661" t="s">
        <v>267</v>
      </c>
      <c r="J35" s="17" t="s">
        <v>58</v>
      </c>
      <c r="K35" s="33">
        <v>63</v>
      </c>
      <c r="L35" s="33">
        <f>M35-K35</f>
        <v>0</v>
      </c>
      <c r="M35" s="33">
        <v>63</v>
      </c>
      <c r="N35" s="33">
        <v>63</v>
      </c>
    </row>
    <row r="36" spans="1:14" s="157" customFormat="1" ht="198" x14ac:dyDescent="0.35">
      <c r="A36" s="18"/>
      <c r="B36" s="51" t="s">
        <v>526</v>
      </c>
      <c r="C36" s="32" t="s">
        <v>2</v>
      </c>
      <c r="D36" s="17" t="s">
        <v>39</v>
      </c>
      <c r="E36" s="17" t="s">
        <v>54</v>
      </c>
      <c r="F36" s="659" t="s">
        <v>43</v>
      </c>
      <c r="G36" s="660" t="s">
        <v>47</v>
      </c>
      <c r="H36" s="660" t="s">
        <v>41</v>
      </c>
      <c r="I36" s="661" t="s">
        <v>61</v>
      </c>
      <c r="J36" s="17"/>
      <c r="K36" s="33">
        <f>K37</f>
        <v>661.9</v>
      </c>
      <c r="L36" s="33">
        <f>L37</f>
        <v>61.5</v>
      </c>
      <c r="M36" s="33">
        <f>M37</f>
        <v>723.4</v>
      </c>
      <c r="N36" s="33">
        <f>N37</f>
        <v>723.4</v>
      </c>
    </row>
    <row r="37" spans="1:14" s="157" customFormat="1" ht="108" x14ac:dyDescent="0.35">
      <c r="A37" s="18"/>
      <c r="B37" s="31" t="s">
        <v>51</v>
      </c>
      <c r="C37" s="32" t="s">
        <v>2</v>
      </c>
      <c r="D37" s="17" t="s">
        <v>39</v>
      </c>
      <c r="E37" s="17" t="s">
        <v>54</v>
      </c>
      <c r="F37" s="659" t="s">
        <v>43</v>
      </c>
      <c r="G37" s="660" t="s">
        <v>47</v>
      </c>
      <c r="H37" s="660" t="s">
        <v>41</v>
      </c>
      <c r="I37" s="661" t="s">
        <v>61</v>
      </c>
      <c r="J37" s="17" t="s">
        <v>52</v>
      </c>
      <c r="K37" s="33">
        <v>661.9</v>
      </c>
      <c r="L37" s="33">
        <f>M37-K37</f>
        <v>61.5</v>
      </c>
      <c r="M37" s="33">
        <f>661.9+61.5</f>
        <v>723.4</v>
      </c>
      <c r="N37" s="33">
        <f>661.9+61.5</f>
        <v>723.4</v>
      </c>
    </row>
    <row r="38" spans="1:14" s="157" customFormat="1" ht="72" x14ac:dyDescent="0.35">
      <c r="A38" s="18"/>
      <c r="B38" s="31" t="s">
        <v>472</v>
      </c>
      <c r="C38" s="32" t="s">
        <v>2</v>
      </c>
      <c r="D38" s="17" t="s">
        <v>39</v>
      </c>
      <c r="E38" s="17" t="s">
        <v>54</v>
      </c>
      <c r="F38" s="659" t="s">
        <v>43</v>
      </c>
      <c r="G38" s="660" t="s">
        <v>47</v>
      </c>
      <c r="H38" s="660" t="s">
        <v>41</v>
      </c>
      <c r="I38" s="661" t="s">
        <v>63</v>
      </c>
      <c r="J38" s="17"/>
      <c r="K38" s="33">
        <f>K39+K40</f>
        <v>662.19999999999993</v>
      </c>
      <c r="L38" s="33">
        <f>L39+L40</f>
        <v>61.399999999999977</v>
      </c>
      <c r="M38" s="33">
        <f>M39+M40</f>
        <v>723.59999999999991</v>
      </c>
      <c r="N38" s="33">
        <f>N39+N40</f>
        <v>723.59999999999991</v>
      </c>
    </row>
    <row r="39" spans="1:14" s="157" customFormat="1" ht="108" x14ac:dyDescent="0.35">
      <c r="A39" s="18"/>
      <c r="B39" s="31" t="s">
        <v>51</v>
      </c>
      <c r="C39" s="32" t="s">
        <v>2</v>
      </c>
      <c r="D39" s="17" t="s">
        <v>39</v>
      </c>
      <c r="E39" s="17" t="s">
        <v>54</v>
      </c>
      <c r="F39" s="659" t="s">
        <v>43</v>
      </c>
      <c r="G39" s="660" t="s">
        <v>47</v>
      </c>
      <c r="H39" s="660" t="s">
        <v>41</v>
      </c>
      <c r="I39" s="661" t="s">
        <v>63</v>
      </c>
      <c r="J39" s="17" t="s">
        <v>52</v>
      </c>
      <c r="K39" s="33">
        <v>657.8</v>
      </c>
      <c r="L39" s="33">
        <f>M39-K39</f>
        <v>61.399999999999977</v>
      </c>
      <c r="M39" s="33">
        <f>657.8+61.4</f>
        <v>719.19999999999993</v>
      </c>
      <c r="N39" s="33">
        <f>657.8+61.4</f>
        <v>719.19999999999993</v>
      </c>
    </row>
    <row r="40" spans="1:14" s="157" customFormat="1" ht="54" x14ac:dyDescent="0.35">
      <c r="A40" s="18"/>
      <c r="B40" s="31" t="s">
        <v>57</v>
      </c>
      <c r="C40" s="32" t="s">
        <v>2</v>
      </c>
      <c r="D40" s="17" t="s">
        <v>39</v>
      </c>
      <c r="E40" s="17" t="s">
        <v>54</v>
      </c>
      <c r="F40" s="659" t="s">
        <v>43</v>
      </c>
      <c r="G40" s="660" t="s">
        <v>47</v>
      </c>
      <c r="H40" s="660" t="s">
        <v>41</v>
      </c>
      <c r="I40" s="661" t="s">
        <v>63</v>
      </c>
      <c r="J40" s="17" t="s">
        <v>58</v>
      </c>
      <c r="K40" s="33">
        <v>4.4000000000000004</v>
      </c>
      <c r="L40" s="33">
        <f>M40-K40</f>
        <v>0</v>
      </c>
      <c r="M40" s="33">
        <v>4.4000000000000004</v>
      </c>
      <c r="N40" s="33">
        <v>4.4000000000000004</v>
      </c>
    </row>
    <row r="41" spans="1:14" s="157" customFormat="1" ht="180" x14ac:dyDescent="0.35">
      <c r="A41" s="18"/>
      <c r="B41" s="51" t="s">
        <v>387</v>
      </c>
      <c r="C41" s="32" t="s">
        <v>2</v>
      </c>
      <c r="D41" s="17" t="s">
        <v>39</v>
      </c>
      <c r="E41" s="17" t="s">
        <v>54</v>
      </c>
      <c r="F41" s="659" t="s">
        <v>43</v>
      </c>
      <c r="G41" s="660" t="s">
        <v>47</v>
      </c>
      <c r="H41" s="660" t="s">
        <v>41</v>
      </c>
      <c r="I41" s="661" t="s">
        <v>386</v>
      </c>
      <c r="J41" s="17"/>
      <c r="K41" s="33">
        <f>K42</f>
        <v>63</v>
      </c>
      <c r="L41" s="33">
        <f>L42</f>
        <v>0</v>
      </c>
      <c r="M41" s="33">
        <f>M42</f>
        <v>63</v>
      </c>
      <c r="N41" s="33">
        <f>N42</f>
        <v>63</v>
      </c>
    </row>
    <row r="42" spans="1:14" s="157" customFormat="1" ht="54" x14ac:dyDescent="0.35">
      <c r="A42" s="18"/>
      <c r="B42" s="31" t="s">
        <v>57</v>
      </c>
      <c r="C42" s="32" t="s">
        <v>2</v>
      </c>
      <c r="D42" s="17" t="s">
        <v>39</v>
      </c>
      <c r="E42" s="17" t="s">
        <v>54</v>
      </c>
      <c r="F42" s="659" t="s">
        <v>43</v>
      </c>
      <c r="G42" s="660" t="s">
        <v>47</v>
      </c>
      <c r="H42" s="660" t="s">
        <v>41</v>
      </c>
      <c r="I42" s="661" t="s">
        <v>386</v>
      </c>
      <c r="J42" s="17" t="s">
        <v>58</v>
      </c>
      <c r="K42" s="33">
        <v>63</v>
      </c>
      <c r="L42" s="33">
        <f>M42-K42</f>
        <v>0</v>
      </c>
      <c r="M42" s="33">
        <f>63</f>
        <v>63</v>
      </c>
      <c r="N42" s="33">
        <f>63</f>
        <v>63</v>
      </c>
    </row>
    <row r="43" spans="1:14" s="157" customFormat="1" ht="72" x14ac:dyDescent="0.35">
      <c r="A43" s="18"/>
      <c r="B43" s="31" t="s">
        <v>62</v>
      </c>
      <c r="C43" s="32" t="s">
        <v>2</v>
      </c>
      <c r="D43" s="17" t="s">
        <v>39</v>
      </c>
      <c r="E43" s="17" t="s">
        <v>54</v>
      </c>
      <c r="F43" s="659" t="s">
        <v>43</v>
      </c>
      <c r="G43" s="660" t="s">
        <v>47</v>
      </c>
      <c r="H43" s="660" t="s">
        <v>41</v>
      </c>
      <c r="I43" s="661" t="s">
        <v>711</v>
      </c>
      <c r="J43" s="17"/>
      <c r="K43" s="33">
        <f>SUM(K44:K45)</f>
        <v>3579.2</v>
      </c>
      <c r="L43" s="33">
        <f>SUM(L44:L45)</f>
        <v>344.40000000000009</v>
      </c>
      <c r="M43" s="33">
        <f>SUM(M44:M45)</f>
        <v>3923.6</v>
      </c>
      <c r="N43" s="33">
        <f>SUM(N44:N45)</f>
        <v>3923.6</v>
      </c>
    </row>
    <row r="44" spans="1:14" s="157" customFormat="1" ht="108" x14ac:dyDescent="0.35">
      <c r="A44" s="18"/>
      <c r="B44" s="31" t="s">
        <v>51</v>
      </c>
      <c r="C44" s="32" t="s">
        <v>2</v>
      </c>
      <c r="D44" s="17" t="s">
        <v>39</v>
      </c>
      <c r="E44" s="17" t="s">
        <v>54</v>
      </c>
      <c r="F44" s="659" t="s">
        <v>43</v>
      </c>
      <c r="G44" s="660" t="s">
        <v>47</v>
      </c>
      <c r="H44" s="660" t="s">
        <v>41</v>
      </c>
      <c r="I44" s="661" t="s">
        <v>711</v>
      </c>
      <c r="J44" s="17" t="s">
        <v>52</v>
      </c>
      <c r="K44" s="33">
        <v>3387.6</v>
      </c>
      <c r="L44" s="33">
        <f>M44-K44</f>
        <v>344.40000000000009</v>
      </c>
      <c r="M44" s="33">
        <f>3387.6+344.4</f>
        <v>3732</v>
      </c>
      <c r="N44" s="33">
        <f>3387.6+344.4</f>
        <v>3732</v>
      </c>
    </row>
    <row r="45" spans="1:14" s="157" customFormat="1" ht="54" x14ac:dyDescent="0.35">
      <c r="A45" s="18"/>
      <c r="B45" s="31" t="s">
        <v>57</v>
      </c>
      <c r="C45" s="32" t="s">
        <v>2</v>
      </c>
      <c r="D45" s="17" t="s">
        <v>39</v>
      </c>
      <c r="E45" s="17" t="s">
        <v>54</v>
      </c>
      <c r="F45" s="659" t="s">
        <v>43</v>
      </c>
      <c r="G45" s="660" t="s">
        <v>47</v>
      </c>
      <c r="H45" s="660" t="s">
        <v>41</v>
      </c>
      <c r="I45" s="661" t="s">
        <v>711</v>
      </c>
      <c r="J45" s="17" t="s">
        <v>58</v>
      </c>
      <c r="K45" s="33">
        <v>191.6</v>
      </c>
      <c r="L45" s="33">
        <f>M45-K45</f>
        <v>0</v>
      </c>
      <c r="M45" s="33">
        <f>191.6</f>
        <v>191.6</v>
      </c>
      <c r="N45" s="33">
        <f>191.6</f>
        <v>191.6</v>
      </c>
    </row>
    <row r="46" spans="1:14" s="14" customFormat="1" ht="18" x14ac:dyDescent="0.35">
      <c r="A46" s="18"/>
      <c r="B46" s="31" t="s">
        <v>64</v>
      </c>
      <c r="C46" s="32" t="s">
        <v>2</v>
      </c>
      <c r="D46" s="17" t="s">
        <v>39</v>
      </c>
      <c r="E46" s="17" t="s">
        <v>54</v>
      </c>
      <c r="F46" s="659" t="s">
        <v>43</v>
      </c>
      <c r="G46" s="660" t="s">
        <v>47</v>
      </c>
      <c r="H46" s="660" t="s">
        <v>65</v>
      </c>
      <c r="I46" s="661" t="s">
        <v>46</v>
      </c>
      <c r="J46" s="17"/>
      <c r="K46" s="33">
        <f t="shared" ref="K46:N47" si="2">K47</f>
        <v>127.4</v>
      </c>
      <c r="L46" s="33">
        <f t="shared" si="2"/>
        <v>0</v>
      </c>
      <c r="M46" s="33">
        <f t="shared" si="2"/>
        <v>127.4</v>
      </c>
      <c r="N46" s="33">
        <f t="shared" si="2"/>
        <v>84.4</v>
      </c>
    </row>
    <row r="47" spans="1:14" s="152" customFormat="1" ht="36" x14ac:dyDescent="0.35">
      <c r="A47" s="18"/>
      <c r="B47" s="31" t="s">
        <v>49</v>
      </c>
      <c r="C47" s="32" t="s">
        <v>2</v>
      </c>
      <c r="D47" s="17" t="s">
        <v>39</v>
      </c>
      <c r="E47" s="17" t="s">
        <v>54</v>
      </c>
      <c r="F47" s="659" t="s">
        <v>43</v>
      </c>
      <c r="G47" s="660" t="s">
        <v>47</v>
      </c>
      <c r="H47" s="660" t="s">
        <v>65</v>
      </c>
      <c r="I47" s="661" t="s">
        <v>50</v>
      </c>
      <c r="J47" s="17"/>
      <c r="K47" s="33">
        <f t="shared" si="2"/>
        <v>127.4</v>
      </c>
      <c r="L47" s="33">
        <f t="shared" si="2"/>
        <v>0</v>
      </c>
      <c r="M47" s="33">
        <f t="shared" si="2"/>
        <v>127.4</v>
      </c>
      <c r="N47" s="33">
        <f t="shared" si="2"/>
        <v>84.4</v>
      </c>
    </row>
    <row r="48" spans="1:14" s="14" customFormat="1" ht="54" x14ac:dyDescent="0.35">
      <c r="A48" s="18"/>
      <c r="B48" s="31" t="s">
        <v>57</v>
      </c>
      <c r="C48" s="32" t="s">
        <v>2</v>
      </c>
      <c r="D48" s="17" t="s">
        <v>39</v>
      </c>
      <c r="E48" s="17" t="s">
        <v>54</v>
      </c>
      <c r="F48" s="659" t="s">
        <v>43</v>
      </c>
      <c r="G48" s="660" t="s">
        <v>47</v>
      </c>
      <c r="H48" s="660" t="s">
        <v>65</v>
      </c>
      <c r="I48" s="661" t="s">
        <v>50</v>
      </c>
      <c r="J48" s="17" t="s">
        <v>58</v>
      </c>
      <c r="K48" s="33">
        <v>127.4</v>
      </c>
      <c r="L48" s="33">
        <f>M48-K48</f>
        <v>0</v>
      </c>
      <c r="M48" s="33">
        <v>127.4</v>
      </c>
      <c r="N48" s="33">
        <f>127.4-43</f>
        <v>84.4</v>
      </c>
    </row>
    <row r="49" spans="1:14" s="14" customFormat="1" ht="18" x14ac:dyDescent="0.35">
      <c r="A49" s="18"/>
      <c r="B49" s="31" t="s">
        <v>408</v>
      </c>
      <c r="C49" s="32" t="s">
        <v>2</v>
      </c>
      <c r="D49" s="17" t="s">
        <v>39</v>
      </c>
      <c r="E49" s="17" t="s">
        <v>67</v>
      </c>
      <c r="F49" s="659"/>
      <c r="G49" s="660"/>
      <c r="H49" s="660"/>
      <c r="I49" s="661"/>
      <c r="J49" s="17"/>
      <c r="K49" s="33">
        <f t="shared" ref="K49:N53" si="3">K50</f>
        <v>24.700000000000003</v>
      </c>
      <c r="L49" s="33">
        <f t="shared" si="3"/>
        <v>0</v>
      </c>
      <c r="M49" s="33">
        <f t="shared" si="3"/>
        <v>24.700000000000003</v>
      </c>
      <c r="N49" s="33">
        <f t="shared" si="3"/>
        <v>21.5</v>
      </c>
    </row>
    <row r="50" spans="1:14" s="14" customFormat="1" ht="58.5" customHeight="1" x14ac:dyDescent="0.35">
      <c r="A50" s="18"/>
      <c r="B50" s="31" t="s">
        <v>55</v>
      </c>
      <c r="C50" s="32" t="s">
        <v>2</v>
      </c>
      <c r="D50" s="17" t="s">
        <v>39</v>
      </c>
      <c r="E50" s="17" t="s">
        <v>67</v>
      </c>
      <c r="F50" s="659" t="s">
        <v>43</v>
      </c>
      <c r="G50" s="660" t="s">
        <v>44</v>
      </c>
      <c r="H50" s="660" t="s">
        <v>45</v>
      </c>
      <c r="I50" s="661" t="s">
        <v>46</v>
      </c>
      <c r="J50" s="17"/>
      <c r="K50" s="33">
        <f t="shared" si="3"/>
        <v>24.700000000000003</v>
      </c>
      <c r="L50" s="33">
        <f t="shared" si="3"/>
        <v>0</v>
      </c>
      <c r="M50" s="33">
        <f t="shared" si="3"/>
        <v>24.700000000000003</v>
      </c>
      <c r="N50" s="33">
        <f t="shared" si="3"/>
        <v>21.5</v>
      </c>
    </row>
    <row r="51" spans="1:14" s="14" customFormat="1" ht="36" x14ac:dyDescent="0.35">
      <c r="A51" s="18"/>
      <c r="B51" s="31" t="s">
        <v>345</v>
      </c>
      <c r="C51" s="32" t="s">
        <v>2</v>
      </c>
      <c r="D51" s="17" t="s">
        <v>39</v>
      </c>
      <c r="E51" s="17" t="s">
        <v>67</v>
      </c>
      <c r="F51" s="659" t="s">
        <v>43</v>
      </c>
      <c r="G51" s="660" t="s">
        <v>47</v>
      </c>
      <c r="H51" s="660" t="s">
        <v>45</v>
      </c>
      <c r="I51" s="661" t="s">
        <v>46</v>
      </c>
      <c r="J51" s="17"/>
      <c r="K51" s="33">
        <f t="shared" si="3"/>
        <v>24.700000000000003</v>
      </c>
      <c r="L51" s="33">
        <f t="shared" si="3"/>
        <v>0</v>
      </c>
      <c r="M51" s="33">
        <f t="shared" si="3"/>
        <v>24.700000000000003</v>
      </c>
      <c r="N51" s="33">
        <f t="shared" si="3"/>
        <v>21.5</v>
      </c>
    </row>
    <row r="52" spans="1:14" s="14" customFormat="1" ht="36" x14ac:dyDescent="0.35">
      <c r="A52" s="18"/>
      <c r="B52" s="31" t="s">
        <v>56</v>
      </c>
      <c r="C52" s="32" t="s">
        <v>2</v>
      </c>
      <c r="D52" s="17" t="s">
        <v>39</v>
      </c>
      <c r="E52" s="17" t="s">
        <v>67</v>
      </c>
      <c r="F52" s="659" t="s">
        <v>43</v>
      </c>
      <c r="G52" s="660" t="s">
        <v>47</v>
      </c>
      <c r="H52" s="660" t="s">
        <v>41</v>
      </c>
      <c r="I52" s="661" t="s">
        <v>46</v>
      </c>
      <c r="J52" s="17"/>
      <c r="K52" s="33">
        <f t="shared" si="3"/>
        <v>24.700000000000003</v>
      </c>
      <c r="L52" s="33">
        <f t="shared" si="3"/>
        <v>0</v>
      </c>
      <c r="M52" s="33">
        <f t="shared" si="3"/>
        <v>24.700000000000003</v>
      </c>
      <c r="N52" s="33">
        <f t="shared" si="3"/>
        <v>21.5</v>
      </c>
    </row>
    <row r="53" spans="1:14" s="14" customFormat="1" ht="76.5" customHeight="1" x14ac:dyDescent="0.35">
      <c r="A53" s="18"/>
      <c r="B53" s="31" t="s">
        <v>410</v>
      </c>
      <c r="C53" s="32" t="s">
        <v>2</v>
      </c>
      <c r="D53" s="17" t="s">
        <v>39</v>
      </c>
      <c r="E53" s="17" t="s">
        <v>67</v>
      </c>
      <c r="F53" s="659" t="s">
        <v>43</v>
      </c>
      <c r="G53" s="660" t="s">
        <v>47</v>
      </c>
      <c r="H53" s="660" t="s">
        <v>41</v>
      </c>
      <c r="I53" s="661" t="s">
        <v>409</v>
      </c>
      <c r="J53" s="17"/>
      <c r="K53" s="33">
        <f t="shared" si="3"/>
        <v>24.700000000000003</v>
      </c>
      <c r="L53" s="33">
        <f t="shared" si="3"/>
        <v>0</v>
      </c>
      <c r="M53" s="33">
        <f t="shared" si="3"/>
        <v>24.700000000000003</v>
      </c>
      <c r="N53" s="33">
        <f t="shared" si="3"/>
        <v>21.5</v>
      </c>
    </row>
    <row r="54" spans="1:14" s="14" customFormat="1" ht="54" x14ac:dyDescent="0.35">
      <c r="A54" s="18"/>
      <c r="B54" s="31" t="s">
        <v>57</v>
      </c>
      <c r="C54" s="32" t="s">
        <v>2</v>
      </c>
      <c r="D54" s="17" t="s">
        <v>39</v>
      </c>
      <c r="E54" s="17" t="s">
        <v>67</v>
      </c>
      <c r="F54" s="659" t="s">
        <v>43</v>
      </c>
      <c r="G54" s="660" t="s">
        <v>47</v>
      </c>
      <c r="H54" s="660" t="s">
        <v>41</v>
      </c>
      <c r="I54" s="661" t="s">
        <v>409</v>
      </c>
      <c r="J54" s="17" t="s">
        <v>58</v>
      </c>
      <c r="K54" s="33">
        <f>6.1+18.6</f>
        <v>24.700000000000003</v>
      </c>
      <c r="L54" s="33">
        <f>M54-K54</f>
        <v>0</v>
      </c>
      <c r="M54" s="33">
        <f>6.1+18.6</f>
        <v>24.700000000000003</v>
      </c>
      <c r="N54" s="33">
        <f>6.1+15.4</f>
        <v>21.5</v>
      </c>
    </row>
    <row r="55" spans="1:14" s="152" customFormat="1" ht="18" x14ac:dyDescent="0.35">
      <c r="A55" s="18"/>
      <c r="B55" s="31" t="s">
        <v>68</v>
      </c>
      <c r="C55" s="32" t="s">
        <v>2</v>
      </c>
      <c r="D55" s="17" t="s">
        <v>39</v>
      </c>
      <c r="E55" s="17" t="s">
        <v>69</v>
      </c>
      <c r="F55" s="659"/>
      <c r="G55" s="660"/>
      <c r="H55" s="660"/>
      <c r="I55" s="661"/>
      <c r="J55" s="17"/>
      <c r="K55" s="33">
        <f t="shared" ref="K55:N58" si="4">K56</f>
        <v>5000</v>
      </c>
      <c r="L55" s="33">
        <f t="shared" si="4"/>
        <v>0</v>
      </c>
      <c r="M55" s="33">
        <f t="shared" si="4"/>
        <v>5000</v>
      </c>
      <c r="N55" s="33">
        <f t="shared" si="4"/>
        <v>5000</v>
      </c>
    </row>
    <row r="56" spans="1:14" s="152" customFormat="1" ht="36" x14ac:dyDescent="0.35">
      <c r="A56" s="18"/>
      <c r="B56" s="31" t="s">
        <v>520</v>
      </c>
      <c r="C56" s="32" t="s">
        <v>2</v>
      </c>
      <c r="D56" s="17" t="s">
        <v>39</v>
      </c>
      <c r="E56" s="17" t="s">
        <v>69</v>
      </c>
      <c r="F56" s="659" t="s">
        <v>70</v>
      </c>
      <c r="G56" s="660" t="s">
        <v>44</v>
      </c>
      <c r="H56" s="660" t="s">
        <v>45</v>
      </c>
      <c r="I56" s="661" t="s">
        <v>46</v>
      </c>
      <c r="J56" s="17"/>
      <c r="K56" s="33">
        <f t="shared" si="4"/>
        <v>5000</v>
      </c>
      <c r="L56" s="33">
        <f t="shared" si="4"/>
        <v>0</v>
      </c>
      <c r="M56" s="33">
        <f t="shared" si="4"/>
        <v>5000</v>
      </c>
      <c r="N56" s="33">
        <f t="shared" si="4"/>
        <v>5000</v>
      </c>
    </row>
    <row r="57" spans="1:14" s="152" customFormat="1" ht="18" x14ac:dyDescent="0.35">
      <c r="A57" s="18"/>
      <c r="B57" s="34" t="s">
        <v>521</v>
      </c>
      <c r="C57" s="32" t="s">
        <v>2</v>
      </c>
      <c r="D57" s="17" t="s">
        <v>39</v>
      </c>
      <c r="E57" s="17" t="s">
        <v>69</v>
      </c>
      <c r="F57" s="659" t="s">
        <v>70</v>
      </c>
      <c r="G57" s="660" t="s">
        <v>47</v>
      </c>
      <c r="H57" s="660" t="s">
        <v>45</v>
      </c>
      <c r="I57" s="661" t="s">
        <v>46</v>
      </c>
      <c r="J57" s="17"/>
      <c r="K57" s="33">
        <f>K58</f>
        <v>5000</v>
      </c>
      <c r="L57" s="33">
        <f>L58</f>
        <v>0</v>
      </c>
      <c r="M57" s="33">
        <f>M58</f>
        <v>5000</v>
      </c>
      <c r="N57" s="33">
        <f>N58</f>
        <v>5000</v>
      </c>
    </row>
    <row r="58" spans="1:14" s="152" customFormat="1" ht="36" x14ac:dyDescent="0.35">
      <c r="A58" s="18"/>
      <c r="B58" s="31" t="s">
        <v>519</v>
      </c>
      <c r="C58" s="32" t="s">
        <v>2</v>
      </c>
      <c r="D58" s="17" t="s">
        <v>39</v>
      </c>
      <c r="E58" s="17" t="s">
        <v>69</v>
      </c>
      <c r="F58" s="659" t="s">
        <v>70</v>
      </c>
      <c r="G58" s="660" t="s">
        <v>47</v>
      </c>
      <c r="H58" s="660" t="s">
        <v>45</v>
      </c>
      <c r="I58" s="661" t="s">
        <v>71</v>
      </c>
      <c r="J58" s="17"/>
      <c r="K58" s="33">
        <f t="shared" si="4"/>
        <v>5000</v>
      </c>
      <c r="L58" s="33">
        <f t="shared" si="4"/>
        <v>0</v>
      </c>
      <c r="M58" s="33">
        <f t="shared" si="4"/>
        <v>5000</v>
      </c>
      <c r="N58" s="33">
        <f t="shared" si="4"/>
        <v>5000</v>
      </c>
    </row>
    <row r="59" spans="1:14" s="152" customFormat="1" ht="18" x14ac:dyDescent="0.35">
      <c r="A59" s="18"/>
      <c r="B59" s="31" t="s">
        <v>59</v>
      </c>
      <c r="C59" s="32" t="s">
        <v>2</v>
      </c>
      <c r="D59" s="17" t="s">
        <v>39</v>
      </c>
      <c r="E59" s="17" t="s">
        <v>69</v>
      </c>
      <c r="F59" s="659" t="s">
        <v>70</v>
      </c>
      <c r="G59" s="660" t="s">
        <v>47</v>
      </c>
      <c r="H59" s="660" t="s">
        <v>45</v>
      </c>
      <c r="I59" s="661" t="s">
        <v>71</v>
      </c>
      <c r="J59" s="17" t="s">
        <v>60</v>
      </c>
      <c r="K59" s="33">
        <v>5000</v>
      </c>
      <c r="L59" s="33">
        <f>M59-K59</f>
        <v>0</v>
      </c>
      <c r="M59" s="33">
        <v>5000</v>
      </c>
      <c r="N59" s="33">
        <v>5000</v>
      </c>
    </row>
    <row r="60" spans="1:14" s="152" customFormat="1" ht="18" x14ac:dyDescent="0.35">
      <c r="A60" s="18"/>
      <c r="B60" s="31" t="s">
        <v>72</v>
      </c>
      <c r="C60" s="32" t="s">
        <v>2</v>
      </c>
      <c r="D60" s="17" t="s">
        <v>39</v>
      </c>
      <c r="E60" s="17" t="s">
        <v>73</v>
      </c>
      <c r="F60" s="659"/>
      <c r="G60" s="660"/>
      <c r="H60" s="660"/>
      <c r="I60" s="661"/>
      <c r="J60" s="17"/>
      <c r="K60" s="33">
        <f>K66+K61</f>
        <v>4743.1000000000004</v>
      </c>
      <c r="L60" s="33">
        <f>L66+L61</f>
        <v>0</v>
      </c>
      <c r="M60" s="33">
        <f>M66+M61</f>
        <v>4743.1000000000004</v>
      </c>
      <c r="N60" s="33">
        <f>N66+N61</f>
        <v>4743.1000000000004</v>
      </c>
    </row>
    <row r="61" spans="1:14" s="152" customFormat="1" ht="72" x14ac:dyDescent="0.35">
      <c r="A61" s="18"/>
      <c r="B61" s="31" t="s">
        <v>74</v>
      </c>
      <c r="C61" s="32" t="s">
        <v>2</v>
      </c>
      <c r="D61" s="17" t="s">
        <v>39</v>
      </c>
      <c r="E61" s="17" t="s">
        <v>73</v>
      </c>
      <c r="F61" s="659" t="s">
        <v>75</v>
      </c>
      <c r="G61" s="660" t="s">
        <v>44</v>
      </c>
      <c r="H61" s="660" t="s">
        <v>45</v>
      </c>
      <c r="I61" s="661" t="s">
        <v>46</v>
      </c>
      <c r="J61" s="17"/>
      <c r="K61" s="33">
        <f t="shared" ref="K61:N64" si="5">K62</f>
        <v>303.60000000000002</v>
      </c>
      <c r="L61" s="33">
        <f t="shared" si="5"/>
        <v>0</v>
      </c>
      <c r="M61" s="33">
        <f t="shared" si="5"/>
        <v>303.60000000000002</v>
      </c>
      <c r="N61" s="33">
        <f t="shared" si="5"/>
        <v>303.60000000000002</v>
      </c>
    </row>
    <row r="62" spans="1:14" s="152" customFormat="1" ht="36" x14ac:dyDescent="0.35">
      <c r="A62" s="18"/>
      <c r="B62" s="31" t="s">
        <v>345</v>
      </c>
      <c r="C62" s="32" t="s">
        <v>2</v>
      </c>
      <c r="D62" s="17" t="s">
        <v>39</v>
      </c>
      <c r="E62" s="17" t="s">
        <v>73</v>
      </c>
      <c r="F62" s="659" t="s">
        <v>75</v>
      </c>
      <c r="G62" s="660" t="s">
        <v>47</v>
      </c>
      <c r="H62" s="660" t="s">
        <v>45</v>
      </c>
      <c r="I62" s="661" t="s">
        <v>46</v>
      </c>
      <c r="J62" s="17"/>
      <c r="K62" s="33">
        <f t="shared" si="5"/>
        <v>303.60000000000002</v>
      </c>
      <c r="L62" s="33">
        <f t="shared" si="5"/>
        <v>0</v>
      </c>
      <c r="M62" s="33">
        <f t="shared" si="5"/>
        <v>303.60000000000002</v>
      </c>
      <c r="N62" s="33">
        <f t="shared" si="5"/>
        <v>303.60000000000002</v>
      </c>
    </row>
    <row r="63" spans="1:14" s="152" customFormat="1" ht="54" x14ac:dyDescent="0.35">
      <c r="A63" s="18"/>
      <c r="B63" s="34" t="s">
        <v>268</v>
      </c>
      <c r="C63" s="32" t="s">
        <v>2</v>
      </c>
      <c r="D63" s="17" t="s">
        <v>39</v>
      </c>
      <c r="E63" s="17" t="s">
        <v>73</v>
      </c>
      <c r="F63" s="659" t="s">
        <v>75</v>
      </c>
      <c r="G63" s="660" t="s">
        <v>47</v>
      </c>
      <c r="H63" s="660" t="s">
        <v>39</v>
      </c>
      <c r="I63" s="661" t="s">
        <v>46</v>
      </c>
      <c r="J63" s="17"/>
      <c r="K63" s="33">
        <f t="shared" si="5"/>
        <v>303.60000000000002</v>
      </c>
      <c r="L63" s="33">
        <f t="shared" si="5"/>
        <v>0</v>
      </c>
      <c r="M63" s="33">
        <f t="shared" si="5"/>
        <v>303.60000000000002</v>
      </c>
      <c r="N63" s="33">
        <f t="shared" si="5"/>
        <v>303.60000000000002</v>
      </c>
    </row>
    <row r="64" spans="1:14" s="152" customFormat="1" ht="54" x14ac:dyDescent="0.35">
      <c r="A64" s="18"/>
      <c r="B64" s="34" t="s">
        <v>76</v>
      </c>
      <c r="C64" s="32" t="s">
        <v>2</v>
      </c>
      <c r="D64" s="17" t="s">
        <v>39</v>
      </c>
      <c r="E64" s="17" t="s">
        <v>73</v>
      </c>
      <c r="F64" s="659" t="s">
        <v>75</v>
      </c>
      <c r="G64" s="660" t="s">
        <v>47</v>
      </c>
      <c r="H64" s="660" t="s">
        <v>39</v>
      </c>
      <c r="I64" s="661" t="s">
        <v>77</v>
      </c>
      <c r="J64" s="17"/>
      <c r="K64" s="33">
        <f t="shared" si="5"/>
        <v>303.60000000000002</v>
      </c>
      <c r="L64" s="33">
        <f t="shared" si="5"/>
        <v>0</v>
      </c>
      <c r="M64" s="33">
        <f t="shared" si="5"/>
        <v>303.60000000000002</v>
      </c>
      <c r="N64" s="33">
        <f t="shared" si="5"/>
        <v>303.60000000000002</v>
      </c>
    </row>
    <row r="65" spans="1:14" s="152" customFormat="1" ht="54" x14ac:dyDescent="0.35">
      <c r="A65" s="18"/>
      <c r="B65" s="35" t="s">
        <v>78</v>
      </c>
      <c r="C65" s="32" t="s">
        <v>2</v>
      </c>
      <c r="D65" s="17" t="s">
        <v>39</v>
      </c>
      <c r="E65" s="17" t="s">
        <v>73</v>
      </c>
      <c r="F65" s="659" t="s">
        <v>75</v>
      </c>
      <c r="G65" s="660" t="s">
        <v>47</v>
      </c>
      <c r="H65" s="660" t="s">
        <v>39</v>
      </c>
      <c r="I65" s="661" t="s">
        <v>77</v>
      </c>
      <c r="J65" s="17" t="s">
        <v>79</v>
      </c>
      <c r="K65" s="33">
        <v>303.60000000000002</v>
      </c>
      <c r="L65" s="33">
        <f>M65-K65</f>
        <v>0</v>
      </c>
      <c r="M65" s="33">
        <v>303.60000000000002</v>
      </c>
      <c r="N65" s="33">
        <v>303.60000000000002</v>
      </c>
    </row>
    <row r="66" spans="1:14" s="152" customFormat="1" ht="54" x14ac:dyDescent="0.35">
      <c r="A66" s="18"/>
      <c r="B66" s="31" t="s">
        <v>42</v>
      </c>
      <c r="C66" s="32" t="s">
        <v>2</v>
      </c>
      <c r="D66" s="17" t="s">
        <v>39</v>
      </c>
      <c r="E66" s="17" t="s">
        <v>73</v>
      </c>
      <c r="F66" s="659" t="s">
        <v>43</v>
      </c>
      <c r="G66" s="660" t="s">
        <v>44</v>
      </c>
      <c r="H66" s="660" t="s">
        <v>45</v>
      </c>
      <c r="I66" s="661" t="s">
        <v>46</v>
      </c>
      <c r="J66" s="17"/>
      <c r="K66" s="33">
        <f>K67</f>
        <v>4439.5</v>
      </c>
      <c r="L66" s="33">
        <f>L67</f>
        <v>0</v>
      </c>
      <c r="M66" s="33">
        <f>M67</f>
        <v>4439.5</v>
      </c>
      <c r="N66" s="33">
        <f>N67</f>
        <v>4439.5</v>
      </c>
    </row>
    <row r="67" spans="1:14" s="152" customFormat="1" ht="36" x14ac:dyDescent="0.35">
      <c r="A67" s="18"/>
      <c r="B67" s="31" t="s">
        <v>345</v>
      </c>
      <c r="C67" s="32" t="s">
        <v>2</v>
      </c>
      <c r="D67" s="17" t="s">
        <v>39</v>
      </c>
      <c r="E67" s="17" t="s">
        <v>73</v>
      </c>
      <c r="F67" s="659" t="s">
        <v>43</v>
      </c>
      <c r="G67" s="660" t="s">
        <v>47</v>
      </c>
      <c r="H67" s="660" t="s">
        <v>45</v>
      </c>
      <c r="I67" s="661" t="s">
        <v>46</v>
      </c>
      <c r="J67" s="17"/>
      <c r="K67" s="33">
        <f>K72+K68+K77+K80</f>
        <v>4439.5</v>
      </c>
      <c r="L67" s="33">
        <f>L72+L68+L77+L80</f>
        <v>0</v>
      </c>
      <c r="M67" s="33">
        <f>M72+M68+M77+M80</f>
        <v>4439.5</v>
      </c>
      <c r="N67" s="33">
        <f>N72+N68+N77+N80</f>
        <v>4439.5</v>
      </c>
    </row>
    <row r="68" spans="1:14" s="152" customFormat="1" ht="18" x14ac:dyDescent="0.35">
      <c r="A68" s="18"/>
      <c r="B68" s="35" t="s">
        <v>64</v>
      </c>
      <c r="C68" s="32" t="s">
        <v>2</v>
      </c>
      <c r="D68" s="17" t="s">
        <v>39</v>
      </c>
      <c r="E68" s="17" t="s">
        <v>73</v>
      </c>
      <c r="F68" s="659" t="s">
        <v>43</v>
      </c>
      <c r="G68" s="660" t="s">
        <v>47</v>
      </c>
      <c r="H68" s="660" t="s">
        <v>65</v>
      </c>
      <c r="I68" s="661" t="s">
        <v>46</v>
      </c>
      <c r="J68" s="17"/>
      <c r="K68" s="33">
        <f>K69</f>
        <v>1247.8</v>
      </c>
      <c r="L68" s="33">
        <f>L69</f>
        <v>0</v>
      </c>
      <c r="M68" s="33">
        <f>M69</f>
        <v>1247.8</v>
      </c>
      <c r="N68" s="33">
        <f>N69</f>
        <v>1247.8</v>
      </c>
    </row>
    <row r="69" spans="1:14" s="152" customFormat="1" ht="54" x14ac:dyDescent="0.35">
      <c r="A69" s="18"/>
      <c r="B69" s="35" t="s">
        <v>398</v>
      </c>
      <c r="C69" s="32" t="s">
        <v>2</v>
      </c>
      <c r="D69" s="17" t="s">
        <v>39</v>
      </c>
      <c r="E69" s="17" t="s">
        <v>73</v>
      </c>
      <c r="F69" s="659" t="s">
        <v>43</v>
      </c>
      <c r="G69" s="660" t="s">
        <v>47</v>
      </c>
      <c r="H69" s="660" t="s">
        <v>65</v>
      </c>
      <c r="I69" s="661" t="s">
        <v>397</v>
      </c>
      <c r="J69" s="17"/>
      <c r="K69" s="33">
        <f>K70+K71</f>
        <v>1247.8</v>
      </c>
      <c r="L69" s="33">
        <f>L70+L71</f>
        <v>0</v>
      </c>
      <c r="M69" s="33">
        <f>M70+M71</f>
        <v>1247.8</v>
      </c>
      <c r="N69" s="33">
        <f>N70+N71</f>
        <v>1247.8</v>
      </c>
    </row>
    <row r="70" spans="1:14" s="152" customFormat="1" ht="54" x14ac:dyDescent="0.35">
      <c r="A70" s="18"/>
      <c r="B70" s="31" t="s">
        <v>57</v>
      </c>
      <c r="C70" s="32" t="s">
        <v>2</v>
      </c>
      <c r="D70" s="17" t="s">
        <v>39</v>
      </c>
      <c r="E70" s="17" t="s">
        <v>73</v>
      </c>
      <c r="F70" s="659" t="s">
        <v>43</v>
      </c>
      <c r="G70" s="660" t="s">
        <v>47</v>
      </c>
      <c r="H70" s="660" t="s">
        <v>65</v>
      </c>
      <c r="I70" s="661" t="s">
        <v>397</v>
      </c>
      <c r="J70" s="17" t="s">
        <v>58</v>
      </c>
      <c r="K70" s="33">
        <v>1019.5</v>
      </c>
      <c r="L70" s="33">
        <f>M70-K70</f>
        <v>0</v>
      </c>
      <c r="M70" s="33">
        <v>1019.5</v>
      </c>
      <c r="N70" s="33">
        <v>1019.5</v>
      </c>
    </row>
    <row r="71" spans="1:14" s="152" customFormat="1" ht="18" x14ac:dyDescent="0.35">
      <c r="A71" s="18"/>
      <c r="B71" s="31" t="s">
        <v>59</v>
      </c>
      <c r="C71" s="32" t="s">
        <v>2</v>
      </c>
      <c r="D71" s="17" t="s">
        <v>39</v>
      </c>
      <c r="E71" s="17" t="s">
        <v>73</v>
      </c>
      <c r="F71" s="659" t="s">
        <v>43</v>
      </c>
      <c r="G71" s="660" t="s">
        <v>47</v>
      </c>
      <c r="H71" s="660" t="s">
        <v>65</v>
      </c>
      <c r="I71" s="661" t="s">
        <v>397</v>
      </c>
      <c r="J71" s="17" t="s">
        <v>60</v>
      </c>
      <c r="K71" s="33">
        <v>228.3</v>
      </c>
      <c r="L71" s="33">
        <f>M71-K71</f>
        <v>0</v>
      </c>
      <c r="M71" s="33">
        <v>228.3</v>
      </c>
      <c r="N71" s="33">
        <v>228.3</v>
      </c>
    </row>
    <row r="72" spans="1:14" s="152" customFormat="1" ht="18" x14ac:dyDescent="0.35">
      <c r="A72" s="18"/>
      <c r="B72" s="31" t="s">
        <v>66</v>
      </c>
      <c r="C72" s="32" t="s">
        <v>2</v>
      </c>
      <c r="D72" s="17" t="s">
        <v>39</v>
      </c>
      <c r="E72" s="17" t="s">
        <v>73</v>
      </c>
      <c r="F72" s="659" t="s">
        <v>43</v>
      </c>
      <c r="G72" s="660" t="s">
        <v>47</v>
      </c>
      <c r="H72" s="660" t="s">
        <v>54</v>
      </c>
      <c r="I72" s="661" t="s">
        <v>46</v>
      </c>
      <c r="J72" s="17"/>
      <c r="K72" s="33">
        <f>K73+K75</f>
        <v>3011.6</v>
      </c>
      <c r="L72" s="33">
        <f>L73+L75</f>
        <v>0</v>
      </c>
      <c r="M72" s="33">
        <f>M73+M75</f>
        <v>3011.6</v>
      </c>
      <c r="N72" s="33">
        <f>N73+N75</f>
        <v>3011.6</v>
      </c>
    </row>
    <row r="73" spans="1:14" s="152" customFormat="1" ht="54" x14ac:dyDescent="0.35">
      <c r="A73" s="18"/>
      <c r="B73" s="36" t="s">
        <v>361</v>
      </c>
      <c r="C73" s="32" t="s">
        <v>2</v>
      </c>
      <c r="D73" s="17" t="s">
        <v>39</v>
      </c>
      <c r="E73" s="17" t="s">
        <v>73</v>
      </c>
      <c r="F73" s="659" t="s">
        <v>43</v>
      </c>
      <c r="G73" s="660" t="s">
        <v>47</v>
      </c>
      <c r="H73" s="660" t="s">
        <v>54</v>
      </c>
      <c r="I73" s="661" t="s">
        <v>107</v>
      </c>
      <c r="J73" s="17"/>
      <c r="K73" s="33">
        <f>K74</f>
        <v>1016.8</v>
      </c>
      <c r="L73" s="33">
        <f>L74</f>
        <v>0</v>
      </c>
      <c r="M73" s="33">
        <f>M74</f>
        <v>1016.8</v>
      </c>
      <c r="N73" s="33">
        <f>N74</f>
        <v>1016.8</v>
      </c>
    </row>
    <row r="74" spans="1:14" s="152" customFormat="1" ht="54" x14ac:dyDescent="0.35">
      <c r="A74" s="18"/>
      <c r="B74" s="31" t="s">
        <v>57</v>
      </c>
      <c r="C74" s="32" t="s">
        <v>2</v>
      </c>
      <c r="D74" s="17" t="s">
        <v>39</v>
      </c>
      <c r="E74" s="17" t="s">
        <v>73</v>
      </c>
      <c r="F74" s="659" t="s">
        <v>43</v>
      </c>
      <c r="G74" s="660" t="s">
        <v>47</v>
      </c>
      <c r="H74" s="660" t="s">
        <v>54</v>
      </c>
      <c r="I74" s="661" t="s">
        <v>107</v>
      </c>
      <c r="J74" s="17" t="s">
        <v>58</v>
      </c>
      <c r="K74" s="33">
        <v>1016.8</v>
      </c>
      <c r="L74" s="33">
        <f>M74-K74</f>
        <v>0</v>
      </c>
      <c r="M74" s="33">
        <v>1016.8</v>
      </c>
      <c r="N74" s="33">
        <v>1016.8</v>
      </c>
    </row>
    <row r="75" spans="1:14" s="152" customFormat="1" ht="54" x14ac:dyDescent="0.35">
      <c r="A75" s="18"/>
      <c r="B75" s="31" t="s">
        <v>363</v>
      </c>
      <c r="C75" s="32" t="s">
        <v>2</v>
      </c>
      <c r="D75" s="17" t="s">
        <v>39</v>
      </c>
      <c r="E75" s="17" t="s">
        <v>73</v>
      </c>
      <c r="F75" s="659" t="s">
        <v>43</v>
      </c>
      <c r="G75" s="660" t="s">
        <v>47</v>
      </c>
      <c r="H75" s="660" t="s">
        <v>54</v>
      </c>
      <c r="I75" s="661" t="s">
        <v>362</v>
      </c>
      <c r="J75" s="17"/>
      <c r="K75" s="33">
        <f>K76</f>
        <v>1994.8</v>
      </c>
      <c r="L75" s="33">
        <f>L76</f>
        <v>0</v>
      </c>
      <c r="M75" s="33">
        <f>M76</f>
        <v>1994.8</v>
      </c>
      <c r="N75" s="33">
        <f>N76</f>
        <v>1994.8</v>
      </c>
    </row>
    <row r="76" spans="1:14" s="152" customFormat="1" ht="54" x14ac:dyDescent="0.35">
      <c r="A76" s="18"/>
      <c r="B76" s="31" t="s">
        <v>57</v>
      </c>
      <c r="C76" s="32" t="s">
        <v>2</v>
      </c>
      <c r="D76" s="17" t="s">
        <v>39</v>
      </c>
      <c r="E76" s="17" t="s">
        <v>73</v>
      </c>
      <c r="F76" s="659" t="s">
        <v>43</v>
      </c>
      <c r="G76" s="660" t="s">
        <v>47</v>
      </c>
      <c r="H76" s="660" t="s">
        <v>54</v>
      </c>
      <c r="I76" s="661" t="s">
        <v>362</v>
      </c>
      <c r="J76" s="17" t="s">
        <v>58</v>
      </c>
      <c r="K76" s="33">
        <v>1994.8</v>
      </c>
      <c r="L76" s="33">
        <f>M76-K76</f>
        <v>0</v>
      </c>
      <c r="M76" s="33">
        <v>1994.8</v>
      </c>
      <c r="N76" s="33">
        <v>1994.8</v>
      </c>
    </row>
    <row r="77" spans="1:14" s="152" customFormat="1" ht="36" x14ac:dyDescent="0.35">
      <c r="A77" s="18"/>
      <c r="B77" s="31" t="s">
        <v>554</v>
      </c>
      <c r="C77" s="32" t="s">
        <v>2</v>
      </c>
      <c r="D77" s="17" t="s">
        <v>39</v>
      </c>
      <c r="E77" s="17" t="s">
        <v>73</v>
      </c>
      <c r="F77" s="659" t="s">
        <v>43</v>
      </c>
      <c r="G77" s="660" t="s">
        <v>47</v>
      </c>
      <c r="H77" s="660" t="s">
        <v>475</v>
      </c>
      <c r="I77" s="661" t="s">
        <v>46</v>
      </c>
      <c r="J77" s="17"/>
      <c r="K77" s="33">
        <f t="shared" ref="K77:N78" si="6">K78</f>
        <v>120.1</v>
      </c>
      <c r="L77" s="33">
        <f t="shared" si="6"/>
        <v>0</v>
      </c>
      <c r="M77" s="33">
        <f t="shared" si="6"/>
        <v>120.1</v>
      </c>
      <c r="N77" s="33">
        <f t="shared" si="6"/>
        <v>120.1</v>
      </c>
    </row>
    <row r="78" spans="1:14" s="152" customFormat="1" ht="36" x14ac:dyDescent="0.35">
      <c r="A78" s="18"/>
      <c r="B78" s="36" t="s">
        <v>129</v>
      </c>
      <c r="C78" s="32" t="s">
        <v>2</v>
      </c>
      <c r="D78" s="17" t="s">
        <v>39</v>
      </c>
      <c r="E78" s="17" t="s">
        <v>73</v>
      </c>
      <c r="F78" s="659" t="s">
        <v>43</v>
      </c>
      <c r="G78" s="660" t="s">
        <v>47</v>
      </c>
      <c r="H78" s="660" t="s">
        <v>475</v>
      </c>
      <c r="I78" s="661" t="s">
        <v>92</v>
      </c>
      <c r="J78" s="17"/>
      <c r="K78" s="33">
        <f t="shared" si="6"/>
        <v>120.1</v>
      </c>
      <c r="L78" s="33">
        <f t="shared" si="6"/>
        <v>0</v>
      </c>
      <c r="M78" s="33">
        <f t="shared" si="6"/>
        <v>120.1</v>
      </c>
      <c r="N78" s="33">
        <f t="shared" si="6"/>
        <v>120.1</v>
      </c>
    </row>
    <row r="79" spans="1:14" s="152" customFormat="1" ht="54" x14ac:dyDescent="0.35">
      <c r="A79" s="18"/>
      <c r="B79" s="31" t="s">
        <v>57</v>
      </c>
      <c r="C79" s="32" t="s">
        <v>2</v>
      </c>
      <c r="D79" s="17" t="s">
        <v>39</v>
      </c>
      <c r="E79" s="17" t="s">
        <v>73</v>
      </c>
      <c r="F79" s="659" t="s">
        <v>43</v>
      </c>
      <c r="G79" s="660" t="s">
        <v>47</v>
      </c>
      <c r="H79" s="660" t="s">
        <v>475</v>
      </c>
      <c r="I79" s="661" t="s">
        <v>92</v>
      </c>
      <c r="J79" s="17" t="s">
        <v>58</v>
      </c>
      <c r="K79" s="33">
        <v>120.1</v>
      </c>
      <c r="L79" s="33">
        <f>M79-K79</f>
        <v>0</v>
      </c>
      <c r="M79" s="33">
        <v>120.1</v>
      </c>
      <c r="N79" s="33">
        <v>120.1</v>
      </c>
    </row>
    <row r="80" spans="1:14" s="152" customFormat="1" ht="36" x14ac:dyDescent="0.35">
      <c r="A80" s="18"/>
      <c r="B80" s="31" t="s">
        <v>544</v>
      </c>
      <c r="C80" s="32" t="s">
        <v>2</v>
      </c>
      <c r="D80" s="17" t="s">
        <v>39</v>
      </c>
      <c r="E80" s="17" t="s">
        <v>73</v>
      </c>
      <c r="F80" s="659" t="s">
        <v>43</v>
      </c>
      <c r="G80" s="660" t="s">
        <v>47</v>
      </c>
      <c r="H80" s="660" t="s">
        <v>43</v>
      </c>
      <c r="I80" s="661" t="s">
        <v>46</v>
      </c>
      <c r="J80" s="17"/>
      <c r="K80" s="33">
        <f t="shared" ref="K80:N81" si="7">K81</f>
        <v>60</v>
      </c>
      <c r="L80" s="33">
        <f t="shared" si="7"/>
        <v>0</v>
      </c>
      <c r="M80" s="33">
        <f t="shared" si="7"/>
        <v>60</v>
      </c>
      <c r="N80" s="33">
        <f t="shared" si="7"/>
        <v>60</v>
      </c>
    </row>
    <row r="81" spans="1:14" s="152" customFormat="1" ht="18" x14ac:dyDescent="0.35">
      <c r="A81" s="18"/>
      <c r="B81" s="36" t="s">
        <v>542</v>
      </c>
      <c r="C81" s="32" t="s">
        <v>2</v>
      </c>
      <c r="D81" s="17" t="s">
        <v>39</v>
      </c>
      <c r="E81" s="17" t="s">
        <v>73</v>
      </c>
      <c r="F81" s="659" t="s">
        <v>43</v>
      </c>
      <c r="G81" s="660" t="s">
        <v>47</v>
      </c>
      <c r="H81" s="660" t="s">
        <v>43</v>
      </c>
      <c r="I81" s="661" t="s">
        <v>543</v>
      </c>
      <c r="J81" s="17"/>
      <c r="K81" s="33">
        <f t="shared" si="7"/>
        <v>60</v>
      </c>
      <c r="L81" s="33">
        <f t="shared" si="7"/>
        <v>0</v>
      </c>
      <c r="M81" s="33">
        <f t="shared" si="7"/>
        <v>60</v>
      </c>
      <c r="N81" s="33">
        <f t="shared" si="7"/>
        <v>60</v>
      </c>
    </row>
    <row r="82" spans="1:14" s="152" customFormat="1" ht="54" x14ac:dyDescent="0.35">
      <c r="A82" s="18"/>
      <c r="B82" s="31" t="s">
        <v>57</v>
      </c>
      <c r="C82" s="32" t="s">
        <v>2</v>
      </c>
      <c r="D82" s="17" t="s">
        <v>39</v>
      </c>
      <c r="E82" s="17" t="s">
        <v>73</v>
      </c>
      <c r="F82" s="659" t="s">
        <v>43</v>
      </c>
      <c r="G82" s="660" t="s">
        <v>47</v>
      </c>
      <c r="H82" s="660" t="s">
        <v>43</v>
      </c>
      <c r="I82" s="661" t="s">
        <v>543</v>
      </c>
      <c r="J82" s="17" t="s">
        <v>58</v>
      </c>
      <c r="K82" s="33">
        <v>60</v>
      </c>
      <c r="L82" s="33">
        <f>M82-K82</f>
        <v>0</v>
      </c>
      <c r="M82" s="33">
        <v>60</v>
      </c>
      <c r="N82" s="33">
        <v>60</v>
      </c>
    </row>
    <row r="83" spans="1:14" s="152" customFormat="1" ht="36" x14ac:dyDescent="0.35">
      <c r="A83" s="18"/>
      <c r="B83" s="31" t="s">
        <v>80</v>
      </c>
      <c r="C83" s="32" t="s">
        <v>2</v>
      </c>
      <c r="D83" s="17" t="s">
        <v>65</v>
      </c>
      <c r="E83" s="17"/>
      <c r="F83" s="659"/>
      <c r="G83" s="660"/>
      <c r="H83" s="660"/>
      <c r="I83" s="661"/>
      <c r="J83" s="17"/>
      <c r="K83" s="33">
        <f>K84+K92</f>
        <v>11858.099999999999</v>
      </c>
      <c r="L83" s="33">
        <f>L84+L92</f>
        <v>0</v>
      </c>
      <c r="M83" s="33">
        <f>M84+M92</f>
        <v>11858.099999999999</v>
      </c>
      <c r="N83" s="33">
        <f>N84+N92</f>
        <v>11858.499999999998</v>
      </c>
    </row>
    <row r="84" spans="1:14" s="152" customFormat="1" ht="72" x14ac:dyDescent="0.35">
      <c r="A84" s="18"/>
      <c r="B84" s="259" t="s">
        <v>538</v>
      </c>
      <c r="C84" s="32" t="s">
        <v>2</v>
      </c>
      <c r="D84" s="17" t="s">
        <v>65</v>
      </c>
      <c r="E84" s="17" t="s">
        <v>106</v>
      </c>
      <c r="F84" s="659"/>
      <c r="G84" s="660"/>
      <c r="H84" s="660"/>
      <c r="I84" s="661"/>
      <c r="J84" s="17"/>
      <c r="K84" s="33">
        <f t="shared" ref="K84:N86" si="8">K85</f>
        <v>362.29999999999995</v>
      </c>
      <c r="L84" s="33">
        <f t="shared" si="8"/>
        <v>0</v>
      </c>
      <c r="M84" s="33">
        <f t="shared" si="8"/>
        <v>362.29999999999995</v>
      </c>
      <c r="N84" s="33">
        <f t="shared" si="8"/>
        <v>362.29999999999995</v>
      </c>
    </row>
    <row r="85" spans="1:14" s="152" customFormat="1" ht="54" x14ac:dyDescent="0.35">
      <c r="A85" s="18"/>
      <c r="B85" s="31" t="s">
        <v>82</v>
      </c>
      <c r="C85" s="32" t="s">
        <v>2</v>
      </c>
      <c r="D85" s="17" t="s">
        <v>65</v>
      </c>
      <c r="E85" s="17" t="s">
        <v>106</v>
      </c>
      <c r="F85" s="659" t="s">
        <v>83</v>
      </c>
      <c r="G85" s="660" t="s">
        <v>44</v>
      </c>
      <c r="H85" s="660" t="s">
        <v>45</v>
      </c>
      <c r="I85" s="661" t="s">
        <v>46</v>
      </c>
      <c r="J85" s="17"/>
      <c r="K85" s="33">
        <f t="shared" si="8"/>
        <v>362.29999999999995</v>
      </c>
      <c r="L85" s="33">
        <f t="shared" si="8"/>
        <v>0</v>
      </c>
      <c r="M85" s="33">
        <f t="shared" si="8"/>
        <v>362.29999999999995</v>
      </c>
      <c r="N85" s="33">
        <f t="shared" si="8"/>
        <v>362.29999999999995</v>
      </c>
    </row>
    <row r="86" spans="1:14" s="152" customFormat="1" ht="54" x14ac:dyDescent="0.35">
      <c r="A86" s="18"/>
      <c r="B86" s="37" t="s">
        <v>84</v>
      </c>
      <c r="C86" s="32" t="s">
        <v>2</v>
      </c>
      <c r="D86" s="17" t="s">
        <v>65</v>
      </c>
      <c r="E86" s="17" t="s">
        <v>106</v>
      </c>
      <c r="F86" s="659" t="s">
        <v>83</v>
      </c>
      <c r="G86" s="660" t="s">
        <v>47</v>
      </c>
      <c r="H86" s="660" t="s">
        <v>45</v>
      </c>
      <c r="I86" s="661" t="s">
        <v>46</v>
      </c>
      <c r="J86" s="17"/>
      <c r="K86" s="33">
        <f t="shared" si="8"/>
        <v>362.29999999999995</v>
      </c>
      <c r="L86" s="33">
        <f t="shared" si="8"/>
        <v>0</v>
      </c>
      <c r="M86" s="33">
        <f t="shared" si="8"/>
        <v>362.29999999999995</v>
      </c>
      <c r="N86" s="33">
        <f t="shared" si="8"/>
        <v>362.29999999999995</v>
      </c>
    </row>
    <row r="87" spans="1:14" s="152" customFormat="1" ht="72" x14ac:dyDescent="0.35">
      <c r="A87" s="18"/>
      <c r="B87" s="31" t="s">
        <v>85</v>
      </c>
      <c r="C87" s="32" t="s">
        <v>2</v>
      </c>
      <c r="D87" s="17" t="s">
        <v>65</v>
      </c>
      <c r="E87" s="17" t="s">
        <v>106</v>
      </c>
      <c r="F87" s="659" t="s">
        <v>83</v>
      </c>
      <c r="G87" s="660" t="s">
        <v>47</v>
      </c>
      <c r="H87" s="660" t="s">
        <v>39</v>
      </c>
      <c r="I87" s="661" t="s">
        <v>46</v>
      </c>
      <c r="J87" s="17"/>
      <c r="K87" s="33">
        <f>K88+K90</f>
        <v>362.29999999999995</v>
      </c>
      <c r="L87" s="33">
        <f>L88+L90</f>
        <v>0</v>
      </c>
      <c r="M87" s="33">
        <f>M88+M90</f>
        <v>362.29999999999995</v>
      </c>
      <c r="N87" s="33">
        <f>N88+N90</f>
        <v>362.29999999999995</v>
      </c>
    </row>
    <row r="88" spans="1:14" s="152" customFormat="1" ht="36" x14ac:dyDescent="0.35">
      <c r="A88" s="18"/>
      <c r="B88" s="37" t="s">
        <v>525</v>
      </c>
      <c r="C88" s="32" t="s">
        <v>2</v>
      </c>
      <c r="D88" s="17" t="s">
        <v>65</v>
      </c>
      <c r="E88" s="17" t="s">
        <v>106</v>
      </c>
      <c r="F88" s="659" t="s">
        <v>83</v>
      </c>
      <c r="G88" s="660" t="s">
        <v>47</v>
      </c>
      <c r="H88" s="660" t="s">
        <v>39</v>
      </c>
      <c r="I88" s="661" t="s">
        <v>86</v>
      </c>
      <c r="J88" s="17"/>
      <c r="K88" s="33">
        <f>K89</f>
        <v>298.39999999999998</v>
      </c>
      <c r="L88" s="33">
        <f>L89</f>
        <v>0</v>
      </c>
      <c r="M88" s="33">
        <f>M89</f>
        <v>298.39999999999998</v>
      </c>
      <c r="N88" s="33">
        <f>N89</f>
        <v>298.39999999999998</v>
      </c>
    </row>
    <row r="89" spans="1:14" s="152" customFormat="1" ht="54" x14ac:dyDescent="0.35">
      <c r="A89" s="18"/>
      <c r="B89" s="31" t="s">
        <v>57</v>
      </c>
      <c r="C89" s="32" t="s">
        <v>2</v>
      </c>
      <c r="D89" s="17" t="s">
        <v>65</v>
      </c>
      <c r="E89" s="17" t="s">
        <v>106</v>
      </c>
      <c r="F89" s="659" t="s">
        <v>83</v>
      </c>
      <c r="G89" s="660" t="s">
        <v>47</v>
      </c>
      <c r="H89" s="660" t="s">
        <v>39</v>
      </c>
      <c r="I89" s="661" t="s">
        <v>86</v>
      </c>
      <c r="J89" s="17" t="s">
        <v>58</v>
      </c>
      <c r="K89" s="33">
        <v>298.39999999999998</v>
      </c>
      <c r="L89" s="33">
        <f>M89-K89</f>
        <v>0</v>
      </c>
      <c r="M89" s="33">
        <v>298.39999999999998</v>
      </c>
      <c r="N89" s="33">
        <v>298.39999999999998</v>
      </c>
    </row>
    <row r="90" spans="1:14" s="152" customFormat="1" ht="54" x14ac:dyDescent="0.35">
      <c r="A90" s="18"/>
      <c r="B90" s="31" t="s">
        <v>87</v>
      </c>
      <c r="C90" s="32" t="s">
        <v>2</v>
      </c>
      <c r="D90" s="17" t="s">
        <v>65</v>
      </c>
      <c r="E90" s="17" t="s">
        <v>106</v>
      </c>
      <c r="F90" s="659" t="s">
        <v>83</v>
      </c>
      <c r="G90" s="660" t="s">
        <v>47</v>
      </c>
      <c r="H90" s="660" t="s">
        <v>39</v>
      </c>
      <c r="I90" s="661" t="s">
        <v>88</v>
      </c>
      <c r="J90" s="17"/>
      <c r="K90" s="33">
        <f>K91</f>
        <v>63.9</v>
      </c>
      <c r="L90" s="33">
        <f>L91</f>
        <v>0</v>
      </c>
      <c r="M90" s="33">
        <f>M91</f>
        <v>63.9</v>
      </c>
      <c r="N90" s="33">
        <f>N91</f>
        <v>63.9</v>
      </c>
    </row>
    <row r="91" spans="1:14" s="152" customFormat="1" ht="54" x14ac:dyDescent="0.35">
      <c r="A91" s="18"/>
      <c r="B91" s="31" t="s">
        <v>57</v>
      </c>
      <c r="C91" s="32" t="s">
        <v>2</v>
      </c>
      <c r="D91" s="17" t="s">
        <v>65</v>
      </c>
      <c r="E91" s="17" t="s">
        <v>106</v>
      </c>
      <c r="F91" s="659" t="s">
        <v>83</v>
      </c>
      <c r="G91" s="660" t="s">
        <v>47</v>
      </c>
      <c r="H91" s="660" t="s">
        <v>39</v>
      </c>
      <c r="I91" s="661" t="s">
        <v>88</v>
      </c>
      <c r="J91" s="17" t="s">
        <v>58</v>
      </c>
      <c r="K91" s="33">
        <v>63.9</v>
      </c>
      <c r="L91" s="33">
        <f>M91-K91</f>
        <v>0</v>
      </c>
      <c r="M91" s="33">
        <v>63.9</v>
      </c>
      <c r="N91" s="33">
        <v>63.9</v>
      </c>
    </row>
    <row r="92" spans="1:14" s="152" customFormat="1" ht="54" x14ac:dyDescent="0.35">
      <c r="A92" s="18"/>
      <c r="B92" s="36" t="s">
        <v>89</v>
      </c>
      <c r="C92" s="32" t="s">
        <v>2</v>
      </c>
      <c r="D92" s="17" t="s">
        <v>65</v>
      </c>
      <c r="E92" s="17" t="s">
        <v>90</v>
      </c>
      <c r="F92" s="659"/>
      <c r="G92" s="660"/>
      <c r="H92" s="660"/>
      <c r="I92" s="661"/>
      <c r="J92" s="17"/>
      <c r="K92" s="33">
        <f t="shared" ref="K92:N92" si="9">K93</f>
        <v>11495.8</v>
      </c>
      <c r="L92" s="33">
        <f t="shared" si="9"/>
        <v>0</v>
      </c>
      <c r="M92" s="33">
        <f t="shared" si="9"/>
        <v>11495.8</v>
      </c>
      <c r="N92" s="33">
        <f t="shared" si="9"/>
        <v>11496.199999999999</v>
      </c>
    </row>
    <row r="93" spans="1:14" s="152" customFormat="1" ht="57.75" customHeight="1" x14ac:dyDescent="0.35">
      <c r="A93" s="18"/>
      <c r="B93" s="31" t="s">
        <v>82</v>
      </c>
      <c r="C93" s="32" t="s">
        <v>2</v>
      </c>
      <c r="D93" s="17" t="s">
        <v>65</v>
      </c>
      <c r="E93" s="17" t="s">
        <v>90</v>
      </c>
      <c r="F93" s="659" t="s">
        <v>83</v>
      </c>
      <c r="G93" s="660" t="s">
        <v>44</v>
      </c>
      <c r="H93" s="660" t="s">
        <v>45</v>
      </c>
      <c r="I93" s="661" t="s">
        <v>46</v>
      </c>
      <c r="J93" s="17"/>
      <c r="K93" s="33">
        <f>K101+K94+K107</f>
        <v>11495.8</v>
      </c>
      <c r="L93" s="33">
        <f>L101+L94+L107</f>
        <v>0</v>
      </c>
      <c r="M93" s="33">
        <f>M101+M94+M107</f>
        <v>11495.8</v>
      </c>
      <c r="N93" s="33">
        <f>N101+N94+N107</f>
        <v>11496.199999999999</v>
      </c>
    </row>
    <row r="94" spans="1:14" s="152" customFormat="1" ht="39.75" customHeight="1" x14ac:dyDescent="0.35">
      <c r="A94" s="18"/>
      <c r="B94" s="36" t="s">
        <v>127</v>
      </c>
      <c r="C94" s="32" t="s">
        <v>2</v>
      </c>
      <c r="D94" s="17" t="s">
        <v>65</v>
      </c>
      <c r="E94" s="17" t="s">
        <v>90</v>
      </c>
      <c r="F94" s="659" t="s">
        <v>83</v>
      </c>
      <c r="G94" s="660" t="s">
        <v>91</v>
      </c>
      <c r="H94" s="660" t="s">
        <v>45</v>
      </c>
      <c r="I94" s="661" t="s">
        <v>46</v>
      </c>
      <c r="J94" s="17"/>
      <c r="K94" s="33">
        <f>K95+K98</f>
        <v>465.40000000000003</v>
      </c>
      <c r="L94" s="33">
        <f>L95+L98</f>
        <v>0</v>
      </c>
      <c r="M94" s="33">
        <f>M95+M98</f>
        <v>465.40000000000003</v>
      </c>
      <c r="N94" s="33">
        <f>N95+N98</f>
        <v>465.40000000000003</v>
      </c>
    </row>
    <row r="95" spans="1:14" s="152" customFormat="1" ht="39" customHeight="1" x14ac:dyDescent="0.35">
      <c r="A95" s="18"/>
      <c r="B95" s="36" t="s">
        <v>273</v>
      </c>
      <c r="C95" s="32" t="s">
        <v>2</v>
      </c>
      <c r="D95" s="17" t="s">
        <v>65</v>
      </c>
      <c r="E95" s="17" t="s">
        <v>90</v>
      </c>
      <c r="F95" s="659" t="s">
        <v>83</v>
      </c>
      <c r="G95" s="660" t="s">
        <v>91</v>
      </c>
      <c r="H95" s="660" t="s">
        <v>39</v>
      </c>
      <c r="I95" s="661" t="s">
        <v>46</v>
      </c>
      <c r="J95" s="17"/>
      <c r="K95" s="33">
        <f>K96</f>
        <v>21.8</v>
      </c>
      <c r="L95" s="33">
        <f>L96</f>
        <v>0</v>
      </c>
      <c r="M95" s="33">
        <f>M96</f>
        <v>21.8</v>
      </c>
      <c r="N95" s="33">
        <f>N96</f>
        <v>21.8</v>
      </c>
    </row>
    <row r="96" spans="1:14" s="152" customFormat="1" ht="36" customHeight="1" x14ac:dyDescent="0.35">
      <c r="A96" s="18"/>
      <c r="B96" s="34" t="s">
        <v>129</v>
      </c>
      <c r="C96" s="32" t="s">
        <v>2</v>
      </c>
      <c r="D96" s="17" t="s">
        <v>65</v>
      </c>
      <c r="E96" s="17" t="s">
        <v>90</v>
      </c>
      <c r="F96" s="659" t="s">
        <v>83</v>
      </c>
      <c r="G96" s="660" t="s">
        <v>91</v>
      </c>
      <c r="H96" s="660" t="s">
        <v>39</v>
      </c>
      <c r="I96" s="661" t="s">
        <v>92</v>
      </c>
      <c r="J96" s="17"/>
      <c r="K96" s="33">
        <f t="shared" ref="K96:N96" si="10">K97</f>
        <v>21.8</v>
      </c>
      <c r="L96" s="33">
        <f t="shared" si="10"/>
        <v>0</v>
      </c>
      <c r="M96" s="33">
        <f t="shared" si="10"/>
        <v>21.8</v>
      </c>
      <c r="N96" s="33">
        <f t="shared" si="10"/>
        <v>21.8</v>
      </c>
    </row>
    <row r="97" spans="1:14" s="152" customFormat="1" ht="57.75" customHeight="1" x14ac:dyDescent="0.35">
      <c r="A97" s="18"/>
      <c r="B97" s="31" t="s">
        <v>57</v>
      </c>
      <c r="C97" s="32" t="s">
        <v>2</v>
      </c>
      <c r="D97" s="17" t="s">
        <v>65</v>
      </c>
      <c r="E97" s="17" t="s">
        <v>90</v>
      </c>
      <c r="F97" s="659" t="s">
        <v>83</v>
      </c>
      <c r="G97" s="660" t="s">
        <v>91</v>
      </c>
      <c r="H97" s="660" t="s">
        <v>39</v>
      </c>
      <c r="I97" s="661" t="s">
        <v>92</v>
      </c>
      <c r="J97" s="17" t="s">
        <v>58</v>
      </c>
      <c r="K97" s="33">
        <v>21.8</v>
      </c>
      <c r="L97" s="33">
        <f>M97-K97</f>
        <v>0</v>
      </c>
      <c r="M97" s="33">
        <v>21.8</v>
      </c>
      <c r="N97" s="33">
        <v>21.8</v>
      </c>
    </row>
    <row r="98" spans="1:14" s="152" customFormat="1" ht="57.75" customHeight="1" x14ac:dyDescent="0.35">
      <c r="A98" s="18"/>
      <c r="B98" s="34" t="s">
        <v>128</v>
      </c>
      <c r="C98" s="32" t="s">
        <v>2</v>
      </c>
      <c r="D98" s="17" t="s">
        <v>65</v>
      </c>
      <c r="E98" s="17" t="s">
        <v>90</v>
      </c>
      <c r="F98" s="659" t="s">
        <v>83</v>
      </c>
      <c r="G98" s="660" t="s">
        <v>91</v>
      </c>
      <c r="H98" s="660" t="s">
        <v>41</v>
      </c>
      <c r="I98" s="661" t="s">
        <v>46</v>
      </c>
      <c r="J98" s="17"/>
      <c r="K98" s="33">
        <f t="shared" ref="K98:N99" si="11">K99</f>
        <v>443.6</v>
      </c>
      <c r="L98" s="33">
        <f t="shared" si="11"/>
        <v>0</v>
      </c>
      <c r="M98" s="33">
        <f t="shared" si="11"/>
        <v>443.6</v>
      </c>
      <c r="N98" s="33">
        <f t="shared" si="11"/>
        <v>443.6</v>
      </c>
    </row>
    <row r="99" spans="1:14" s="152" customFormat="1" ht="31.5" customHeight="1" x14ac:dyDescent="0.35">
      <c r="A99" s="18"/>
      <c r="B99" s="34" t="s">
        <v>129</v>
      </c>
      <c r="C99" s="32" t="s">
        <v>2</v>
      </c>
      <c r="D99" s="17" t="s">
        <v>65</v>
      </c>
      <c r="E99" s="17" t="s">
        <v>90</v>
      </c>
      <c r="F99" s="659" t="s">
        <v>83</v>
      </c>
      <c r="G99" s="660" t="s">
        <v>91</v>
      </c>
      <c r="H99" s="660" t="s">
        <v>41</v>
      </c>
      <c r="I99" s="661" t="s">
        <v>92</v>
      </c>
      <c r="J99" s="17"/>
      <c r="K99" s="33">
        <f t="shared" si="11"/>
        <v>443.6</v>
      </c>
      <c r="L99" s="33">
        <f t="shared" si="11"/>
        <v>0</v>
      </c>
      <c r="M99" s="33">
        <f t="shared" si="11"/>
        <v>443.6</v>
      </c>
      <c r="N99" s="33">
        <f t="shared" si="11"/>
        <v>443.6</v>
      </c>
    </row>
    <row r="100" spans="1:14" s="152" customFormat="1" ht="54" x14ac:dyDescent="0.35">
      <c r="A100" s="18"/>
      <c r="B100" s="31" t="s">
        <v>57</v>
      </c>
      <c r="C100" s="32" t="s">
        <v>2</v>
      </c>
      <c r="D100" s="17" t="s">
        <v>65</v>
      </c>
      <c r="E100" s="17" t="s">
        <v>90</v>
      </c>
      <c r="F100" s="659" t="s">
        <v>83</v>
      </c>
      <c r="G100" s="660" t="s">
        <v>91</v>
      </c>
      <c r="H100" s="660" t="s">
        <v>41</v>
      </c>
      <c r="I100" s="661" t="s">
        <v>92</v>
      </c>
      <c r="J100" s="17" t="s">
        <v>58</v>
      </c>
      <c r="K100" s="33">
        <v>443.6</v>
      </c>
      <c r="L100" s="33">
        <f>M100-K100</f>
        <v>0</v>
      </c>
      <c r="M100" s="33">
        <v>443.6</v>
      </c>
      <c r="N100" s="33">
        <v>443.6</v>
      </c>
    </row>
    <row r="101" spans="1:14" s="152" customFormat="1" ht="72" x14ac:dyDescent="0.35">
      <c r="A101" s="18"/>
      <c r="B101" s="36" t="s">
        <v>377</v>
      </c>
      <c r="C101" s="32" t="s">
        <v>2</v>
      </c>
      <c r="D101" s="17" t="s">
        <v>65</v>
      </c>
      <c r="E101" s="17" t="s">
        <v>90</v>
      </c>
      <c r="F101" s="659" t="s">
        <v>83</v>
      </c>
      <c r="G101" s="660" t="s">
        <v>32</v>
      </c>
      <c r="H101" s="660" t="s">
        <v>45</v>
      </c>
      <c r="I101" s="661" t="s">
        <v>46</v>
      </c>
      <c r="J101" s="17"/>
      <c r="K101" s="33">
        <f t="shared" ref="K101:N102" si="12">K102</f>
        <v>11008.6</v>
      </c>
      <c r="L101" s="33">
        <f t="shared" si="12"/>
        <v>0</v>
      </c>
      <c r="M101" s="33">
        <f t="shared" si="12"/>
        <v>11008.6</v>
      </c>
      <c r="N101" s="33">
        <f t="shared" si="12"/>
        <v>11009</v>
      </c>
    </row>
    <row r="102" spans="1:14" s="152" customFormat="1" ht="72" x14ac:dyDescent="0.35">
      <c r="A102" s="18"/>
      <c r="B102" s="34" t="s">
        <v>327</v>
      </c>
      <c r="C102" s="32" t="s">
        <v>2</v>
      </c>
      <c r="D102" s="17" t="s">
        <v>65</v>
      </c>
      <c r="E102" s="17" t="s">
        <v>90</v>
      </c>
      <c r="F102" s="659" t="s">
        <v>83</v>
      </c>
      <c r="G102" s="660" t="s">
        <v>32</v>
      </c>
      <c r="H102" s="660" t="s">
        <v>39</v>
      </c>
      <c r="I102" s="661" t="s">
        <v>46</v>
      </c>
      <c r="J102" s="17"/>
      <c r="K102" s="33">
        <f t="shared" si="12"/>
        <v>11008.6</v>
      </c>
      <c r="L102" s="33">
        <f t="shared" si="12"/>
        <v>0</v>
      </c>
      <c r="M102" s="33">
        <f t="shared" si="12"/>
        <v>11008.6</v>
      </c>
      <c r="N102" s="33">
        <f t="shared" si="12"/>
        <v>11009</v>
      </c>
    </row>
    <row r="103" spans="1:14" s="152" customFormat="1" ht="38.25" customHeight="1" x14ac:dyDescent="0.35">
      <c r="A103" s="18"/>
      <c r="B103" s="112" t="s">
        <v>540</v>
      </c>
      <c r="C103" s="32" t="s">
        <v>2</v>
      </c>
      <c r="D103" s="17" t="s">
        <v>65</v>
      </c>
      <c r="E103" s="17" t="s">
        <v>90</v>
      </c>
      <c r="F103" s="659" t="s">
        <v>83</v>
      </c>
      <c r="G103" s="660" t="s">
        <v>32</v>
      </c>
      <c r="H103" s="660" t="s">
        <v>39</v>
      </c>
      <c r="I103" s="661" t="s">
        <v>93</v>
      </c>
      <c r="J103" s="17"/>
      <c r="K103" s="33">
        <f>K104+K105+K106</f>
        <v>11008.6</v>
      </c>
      <c r="L103" s="33">
        <f>L104+L105+L106</f>
        <v>0</v>
      </c>
      <c r="M103" s="33">
        <f>M104+M105+M106</f>
        <v>11008.6</v>
      </c>
      <c r="N103" s="33">
        <f>N104+N105+N106</f>
        <v>11009</v>
      </c>
    </row>
    <row r="104" spans="1:14" s="152" customFormat="1" ht="108" x14ac:dyDescent="0.35">
      <c r="A104" s="18"/>
      <c r="B104" s="31" t="s">
        <v>51</v>
      </c>
      <c r="C104" s="32" t="s">
        <v>2</v>
      </c>
      <c r="D104" s="17" t="s">
        <v>65</v>
      </c>
      <c r="E104" s="17" t="s">
        <v>90</v>
      </c>
      <c r="F104" s="659" t="s">
        <v>83</v>
      </c>
      <c r="G104" s="660" t="s">
        <v>32</v>
      </c>
      <c r="H104" s="660" t="s">
        <v>39</v>
      </c>
      <c r="I104" s="661" t="s">
        <v>93</v>
      </c>
      <c r="J104" s="17" t="s">
        <v>52</v>
      </c>
      <c r="K104" s="33">
        <f>10605+40.2</f>
        <v>10645.2</v>
      </c>
      <c r="L104" s="33">
        <f>M104-K104</f>
        <v>0</v>
      </c>
      <c r="M104" s="33">
        <f>10605+40.2</f>
        <v>10645.2</v>
      </c>
      <c r="N104" s="33">
        <f>10605+40.2</f>
        <v>10645.2</v>
      </c>
    </row>
    <row r="105" spans="1:14" s="152" customFormat="1" ht="54" x14ac:dyDescent="0.35">
      <c r="A105" s="18"/>
      <c r="B105" s="31" t="s">
        <v>57</v>
      </c>
      <c r="C105" s="32" t="s">
        <v>2</v>
      </c>
      <c r="D105" s="17" t="s">
        <v>65</v>
      </c>
      <c r="E105" s="17" t="s">
        <v>90</v>
      </c>
      <c r="F105" s="659" t="s">
        <v>83</v>
      </c>
      <c r="G105" s="660" t="s">
        <v>32</v>
      </c>
      <c r="H105" s="660" t="s">
        <v>39</v>
      </c>
      <c r="I105" s="661" t="s">
        <v>93</v>
      </c>
      <c r="J105" s="17" t="s">
        <v>58</v>
      </c>
      <c r="K105" s="33">
        <v>357.1</v>
      </c>
      <c r="L105" s="33">
        <f>M105-K105</f>
        <v>0</v>
      </c>
      <c r="M105" s="33">
        <v>357.1</v>
      </c>
      <c r="N105" s="33">
        <v>357.5</v>
      </c>
    </row>
    <row r="106" spans="1:14" s="152" customFormat="1" ht="18" x14ac:dyDescent="0.35">
      <c r="A106" s="18"/>
      <c r="B106" s="31" t="s">
        <v>59</v>
      </c>
      <c r="C106" s="32" t="s">
        <v>2</v>
      </c>
      <c r="D106" s="17" t="s">
        <v>65</v>
      </c>
      <c r="E106" s="17" t="s">
        <v>90</v>
      </c>
      <c r="F106" s="659" t="s">
        <v>83</v>
      </c>
      <c r="G106" s="660" t="s">
        <v>32</v>
      </c>
      <c r="H106" s="660" t="s">
        <v>39</v>
      </c>
      <c r="I106" s="661" t="s">
        <v>93</v>
      </c>
      <c r="J106" s="17" t="s">
        <v>60</v>
      </c>
      <c r="K106" s="33">
        <v>6.3</v>
      </c>
      <c r="L106" s="33">
        <f>M106-K106</f>
        <v>0</v>
      </c>
      <c r="M106" s="33">
        <v>6.3</v>
      </c>
      <c r="N106" s="33">
        <v>6.3</v>
      </c>
    </row>
    <row r="107" spans="1:14" s="152" customFormat="1" ht="54" x14ac:dyDescent="0.35">
      <c r="A107" s="18"/>
      <c r="B107" s="316" t="s">
        <v>579</v>
      </c>
      <c r="C107" s="32" t="s">
        <v>2</v>
      </c>
      <c r="D107" s="17" t="s">
        <v>65</v>
      </c>
      <c r="E107" s="17" t="s">
        <v>90</v>
      </c>
      <c r="F107" s="659" t="s">
        <v>83</v>
      </c>
      <c r="G107" s="660" t="s">
        <v>33</v>
      </c>
      <c r="H107" s="660" t="s">
        <v>45</v>
      </c>
      <c r="I107" s="661" t="s">
        <v>46</v>
      </c>
      <c r="J107" s="17"/>
      <c r="K107" s="33">
        <f t="shared" ref="K107:N109" si="13">K108</f>
        <v>21.8</v>
      </c>
      <c r="L107" s="33">
        <f t="shared" si="13"/>
        <v>0</v>
      </c>
      <c r="M107" s="33">
        <f t="shared" si="13"/>
        <v>21.8</v>
      </c>
      <c r="N107" s="33">
        <f t="shared" si="13"/>
        <v>21.8</v>
      </c>
    </row>
    <row r="108" spans="1:14" s="152" customFormat="1" ht="72" x14ac:dyDescent="0.35">
      <c r="A108" s="18"/>
      <c r="B108" s="317" t="s">
        <v>580</v>
      </c>
      <c r="C108" s="32" t="s">
        <v>2</v>
      </c>
      <c r="D108" s="17" t="s">
        <v>65</v>
      </c>
      <c r="E108" s="17" t="s">
        <v>90</v>
      </c>
      <c r="F108" s="659" t="s">
        <v>83</v>
      </c>
      <c r="G108" s="660" t="s">
        <v>33</v>
      </c>
      <c r="H108" s="660" t="s">
        <v>39</v>
      </c>
      <c r="I108" s="661" t="s">
        <v>46</v>
      </c>
      <c r="J108" s="17"/>
      <c r="K108" s="33">
        <f t="shared" si="13"/>
        <v>21.8</v>
      </c>
      <c r="L108" s="33">
        <f t="shared" si="13"/>
        <v>0</v>
      </c>
      <c r="M108" s="33">
        <f t="shared" si="13"/>
        <v>21.8</v>
      </c>
      <c r="N108" s="33">
        <f t="shared" si="13"/>
        <v>21.8</v>
      </c>
    </row>
    <row r="109" spans="1:14" s="152" customFormat="1" ht="54" x14ac:dyDescent="0.35">
      <c r="A109" s="18"/>
      <c r="B109" s="314" t="s">
        <v>87</v>
      </c>
      <c r="C109" s="32" t="s">
        <v>2</v>
      </c>
      <c r="D109" s="17" t="s">
        <v>65</v>
      </c>
      <c r="E109" s="17" t="s">
        <v>90</v>
      </c>
      <c r="F109" s="659" t="s">
        <v>83</v>
      </c>
      <c r="G109" s="660" t="s">
        <v>33</v>
      </c>
      <c r="H109" s="660" t="s">
        <v>39</v>
      </c>
      <c r="I109" s="661" t="s">
        <v>88</v>
      </c>
      <c r="J109" s="17"/>
      <c r="K109" s="33">
        <f t="shared" si="13"/>
        <v>21.8</v>
      </c>
      <c r="L109" s="33">
        <f t="shared" si="13"/>
        <v>0</v>
      </c>
      <c r="M109" s="33">
        <f t="shared" si="13"/>
        <v>21.8</v>
      </c>
      <c r="N109" s="33">
        <f t="shared" si="13"/>
        <v>21.8</v>
      </c>
    </row>
    <row r="110" spans="1:14" s="152" customFormat="1" ht="54" x14ac:dyDescent="0.35">
      <c r="A110" s="18"/>
      <c r="B110" s="315" t="s">
        <v>57</v>
      </c>
      <c r="C110" s="32" t="s">
        <v>2</v>
      </c>
      <c r="D110" s="17" t="s">
        <v>65</v>
      </c>
      <c r="E110" s="17" t="s">
        <v>90</v>
      </c>
      <c r="F110" s="659" t="s">
        <v>83</v>
      </c>
      <c r="G110" s="660" t="s">
        <v>33</v>
      </c>
      <c r="H110" s="660" t="s">
        <v>39</v>
      </c>
      <c r="I110" s="661" t="s">
        <v>88</v>
      </c>
      <c r="J110" s="17" t="s">
        <v>58</v>
      </c>
      <c r="K110" s="33">
        <v>21.8</v>
      </c>
      <c r="L110" s="33">
        <f>M110-K110</f>
        <v>0</v>
      </c>
      <c r="M110" s="33">
        <v>21.8</v>
      </c>
      <c r="N110" s="33">
        <v>21.8</v>
      </c>
    </row>
    <row r="111" spans="1:14" s="152" customFormat="1" ht="18" x14ac:dyDescent="0.35">
      <c r="A111" s="18"/>
      <c r="B111" s="31" t="s">
        <v>94</v>
      </c>
      <c r="C111" s="32" t="s">
        <v>2</v>
      </c>
      <c r="D111" s="17" t="s">
        <v>54</v>
      </c>
      <c r="E111" s="17"/>
      <c r="F111" s="659"/>
      <c r="G111" s="660"/>
      <c r="H111" s="660"/>
      <c r="I111" s="661"/>
      <c r="J111" s="17"/>
      <c r="K111" s="33">
        <f>K112+K121+K127</f>
        <v>28289</v>
      </c>
      <c r="L111" s="33">
        <f>L112+L121+L127</f>
        <v>0</v>
      </c>
      <c r="M111" s="33">
        <f>M112+M121+M127</f>
        <v>28289</v>
      </c>
      <c r="N111" s="33">
        <f>N112+N121+N127</f>
        <v>31457.599999999999</v>
      </c>
    </row>
    <row r="112" spans="1:14" s="14" customFormat="1" ht="18" x14ac:dyDescent="0.35">
      <c r="A112" s="18"/>
      <c r="B112" s="31" t="s">
        <v>95</v>
      </c>
      <c r="C112" s="32" t="s">
        <v>2</v>
      </c>
      <c r="D112" s="17" t="s">
        <v>54</v>
      </c>
      <c r="E112" s="17" t="s">
        <v>67</v>
      </c>
      <c r="F112" s="659"/>
      <c r="G112" s="660"/>
      <c r="H112" s="660"/>
      <c r="I112" s="661"/>
      <c r="J112" s="17"/>
      <c r="K112" s="33">
        <f t="shared" ref="K112:N113" si="14">K113</f>
        <v>12695.300000000001</v>
      </c>
      <c r="L112" s="33">
        <f t="shared" si="14"/>
        <v>0</v>
      </c>
      <c r="M112" s="33">
        <f t="shared" si="14"/>
        <v>12695.300000000001</v>
      </c>
      <c r="N112" s="33">
        <f t="shared" si="14"/>
        <v>17253.900000000001</v>
      </c>
    </row>
    <row r="113" spans="1:14" s="152" customFormat="1" ht="59.25" customHeight="1" x14ac:dyDescent="0.35">
      <c r="A113" s="18"/>
      <c r="B113" s="31" t="s">
        <v>96</v>
      </c>
      <c r="C113" s="32" t="s">
        <v>2</v>
      </c>
      <c r="D113" s="17" t="s">
        <v>54</v>
      </c>
      <c r="E113" s="17" t="s">
        <v>67</v>
      </c>
      <c r="F113" s="659" t="s">
        <v>69</v>
      </c>
      <c r="G113" s="660" t="s">
        <v>44</v>
      </c>
      <c r="H113" s="660" t="s">
        <v>45</v>
      </c>
      <c r="I113" s="661" t="s">
        <v>46</v>
      </c>
      <c r="J113" s="17"/>
      <c r="K113" s="33">
        <f t="shared" si="14"/>
        <v>12695.300000000001</v>
      </c>
      <c r="L113" s="33">
        <f t="shared" si="14"/>
        <v>0</v>
      </c>
      <c r="M113" s="33">
        <f t="shared" si="14"/>
        <v>12695.300000000001</v>
      </c>
      <c r="N113" s="33">
        <f t="shared" si="14"/>
        <v>17253.900000000001</v>
      </c>
    </row>
    <row r="114" spans="1:14" s="14" customFormat="1" ht="36" x14ac:dyDescent="0.35">
      <c r="A114" s="18"/>
      <c r="B114" s="31" t="s">
        <v>345</v>
      </c>
      <c r="C114" s="32" t="s">
        <v>2</v>
      </c>
      <c r="D114" s="17" t="s">
        <v>54</v>
      </c>
      <c r="E114" s="17" t="s">
        <v>67</v>
      </c>
      <c r="F114" s="659" t="s">
        <v>69</v>
      </c>
      <c r="G114" s="660" t="s">
        <v>47</v>
      </c>
      <c r="H114" s="660" t="s">
        <v>45</v>
      </c>
      <c r="I114" s="661" t="s">
        <v>46</v>
      </c>
      <c r="J114" s="17"/>
      <c r="K114" s="33">
        <f>K115+K118</f>
        <v>12695.300000000001</v>
      </c>
      <c r="L114" s="33">
        <f>L115+L118</f>
        <v>0</v>
      </c>
      <c r="M114" s="33">
        <f>M115+M118</f>
        <v>12695.300000000001</v>
      </c>
      <c r="N114" s="33">
        <f>N115+N118</f>
        <v>17253.900000000001</v>
      </c>
    </row>
    <row r="115" spans="1:14" s="14" customFormat="1" ht="54" x14ac:dyDescent="0.35">
      <c r="A115" s="18"/>
      <c r="B115" s="31" t="s">
        <v>97</v>
      </c>
      <c r="C115" s="32" t="s">
        <v>2</v>
      </c>
      <c r="D115" s="17" t="s">
        <v>54</v>
      </c>
      <c r="E115" s="17" t="s">
        <v>67</v>
      </c>
      <c r="F115" s="659" t="s">
        <v>69</v>
      </c>
      <c r="G115" s="660" t="s">
        <v>47</v>
      </c>
      <c r="H115" s="660" t="s">
        <v>39</v>
      </c>
      <c r="I115" s="661" t="s">
        <v>46</v>
      </c>
      <c r="J115" s="17"/>
      <c r="K115" s="33">
        <f t="shared" ref="K115:N115" si="15">K116</f>
        <v>11070.6</v>
      </c>
      <c r="L115" s="33">
        <f t="shared" si="15"/>
        <v>0</v>
      </c>
      <c r="M115" s="33">
        <f t="shared" si="15"/>
        <v>11070.6</v>
      </c>
      <c r="N115" s="33">
        <f t="shared" si="15"/>
        <v>15776.9</v>
      </c>
    </row>
    <row r="116" spans="1:14" s="14" customFormat="1" ht="72" x14ac:dyDescent="0.35">
      <c r="A116" s="18"/>
      <c r="B116" s="51" t="s">
        <v>472</v>
      </c>
      <c r="C116" s="32" t="s">
        <v>2</v>
      </c>
      <c r="D116" s="17" t="s">
        <v>54</v>
      </c>
      <c r="E116" s="17" t="s">
        <v>67</v>
      </c>
      <c r="F116" s="659" t="s">
        <v>69</v>
      </c>
      <c r="G116" s="660" t="s">
        <v>47</v>
      </c>
      <c r="H116" s="660" t="s">
        <v>39</v>
      </c>
      <c r="I116" s="661" t="s">
        <v>63</v>
      </c>
      <c r="J116" s="17"/>
      <c r="K116" s="33">
        <f>K117</f>
        <v>11070.6</v>
      </c>
      <c r="L116" s="33">
        <f>L117</f>
        <v>0</v>
      </c>
      <c r="M116" s="33">
        <f>M117</f>
        <v>11070.6</v>
      </c>
      <c r="N116" s="33">
        <f>N117</f>
        <v>15776.9</v>
      </c>
    </row>
    <row r="117" spans="1:14" s="152" customFormat="1" ht="18" x14ac:dyDescent="0.35">
      <c r="A117" s="18"/>
      <c r="B117" s="31" t="s">
        <v>59</v>
      </c>
      <c r="C117" s="32" t="s">
        <v>2</v>
      </c>
      <c r="D117" s="17" t="s">
        <v>54</v>
      </c>
      <c r="E117" s="17" t="s">
        <v>67</v>
      </c>
      <c r="F117" s="659" t="s">
        <v>69</v>
      </c>
      <c r="G117" s="660" t="s">
        <v>47</v>
      </c>
      <c r="H117" s="660" t="s">
        <v>39</v>
      </c>
      <c r="I117" s="661" t="s">
        <v>63</v>
      </c>
      <c r="J117" s="17" t="s">
        <v>60</v>
      </c>
      <c r="K117" s="33">
        <v>11070.6</v>
      </c>
      <c r="L117" s="33">
        <f>M117-K117</f>
        <v>0</v>
      </c>
      <c r="M117" s="33">
        <v>11070.6</v>
      </c>
      <c r="N117" s="33">
        <v>15776.9</v>
      </c>
    </row>
    <row r="118" spans="1:14" s="14" customFormat="1" ht="57" customHeight="1" x14ac:dyDescent="0.35">
      <c r="A118" s="18"/>
      <c r="B118" s="31" t="s">
        <v>98</v>
      </c>
      <c r="C118" s="32" t="s">
        <v>2</v>
      </c>
      <c r="D118" s="17" t="s">
        <v>54</v>
      </c>
      <c r="E118" s="17" t="s">
        <v>67</v>
      </c>
      <c r="F118" s="659" t="s">
        <v>69</v>
      </c>
      <c r="G118" s="660" t="s">
        <v>47</v>
      </c>
      <c r="H118" s="660" t="s">
        <v>41</v>
      </c>
      <c r="I118" s="661" t="s">
        <v>46</v>
      </c>
      <c r="J118" s="17"/>
      <c r="K118" s="33">
        <f t="shared" ref="K118:N119" si="16">K119</f>
        <v>1624.7</v>
      </c>
      <c r="L118" s="33">
        <f t="shared" si="16"/>
        <v>0</v>
      </c>
      <c r="M118" s="33">
        <f t="shared" si="16"/>
        <v>1624.7</v>
      </c>
      <c r="N118" s="33">
        <f t="shared" si="16"/>
        <v>1477</v>
      </c>
    </row>
    <row r="119" spans="1:14" s="14" customFormat="1" ht="180" x14ac:dyDescent="0.35">
      <c r="A119" s="18"/>
      <c r="B119" s="31" t="s">
        <v>690</v>
      </c>
      <c r="C119" s="32" t="s">
        <v>2</v>
      </c>
      <c r="D119" s="17" t="s">
        <v>54</v>
      </c>
      <c r="E119" s="17" t="s">
        <v>67</v>
      </c>
      <c r="F119" s="659" t="s">
        <v>69</v>
      </c>
      <c r="G119" s="660" t="s">
        <v>47</v>
      </c>
      <c r="H119" s="660" t="s">
        <v>41</v>
      </c>
      <c r="I119" s="661" t="s">
        <v>99</v>
      </c>
      <c r="J119" s="17"/>
      <c r="K119" s="33">
        <f t="shared" si="16"/>
        <v>1624.7</v>
      </c>
      <c r="L119" s="33">
        <f t="shared" si="16"/>
        <v>0</v>
      </c>
      <c r="M119" s="33">
        <f t="shared" si="16"/>
        <v>1624.7</v>
      </c>
      <c r="N119" s="33">
        <f t="shared" si="16"/>
        <v>1477</v>
      </c>
    </row>
    <row r="120" spans="1:14" s="152" customFormat="1" ht="54" x14ac:dyDescent="0.35">
      <c r="A120" s="18"/>
      <c r="B120" s="31" t="s">
        <v>57</v>
      </c>
      <c r="C120" s="32" t="s">
        <v>2</v>
      </c>
      <c r="D120" s="17" t="s">
        <v>54</v>
      </c>
      <c r="E120" s="17" t="s">
        <v>67</v>
      </c>
      <c r="F120" s="659" t="s">
        <v>69</v>
      </c>
      <c r="G120" s="660" t="s">
        <v>47</v>
      </c>
      <c r="H120" s="660" t="s">
        <v>41</v>
      </c>
      <c r="I120" s="661" t="s">
        <v>99</v>
      </c>
      <c r="J120" s="17" t="s">
        <v>58</v>
      </c>
      <c r="K120" s="33">
        <v>1624.7</v>
      </c>
      <c r="L120" s="33">
        <f>M120-K120</f>
        <v>0</v>
      </c>
      <c r="M120" s="33">
        <v>1624.7</v>
      </c>
      <c r="N120" s="33">
        <v>1477</v>
      </c>
    </row>
    <row r="121" spans="1:14" s="14" customFormat="1" ht="18" x14ac:dyDescent="0.35">
      <c r="A121" s="18"/>
      <c r="B121" s="36" t="s">
        <v>100</v>
      </c>
      <c r="C121" s="32" t="s">
        <v>2</v>
      </c>
      <c r="D121" s="17" t="s">
        <v>54</v>
      </c>
      <c r="E121" s="17" t="s">
        <v>81</v>
      </c>
      <c r="F121" s="659"/>
      <c r="G121" s="660"/>
      <c r="H121" s="660"/>
      <c r="I121" s="661"/>
      <c r="J121" s="17"/>
      <c r="K121" s="33">
        <f t="shared" ref="K121:N125" si="17">K122</f>
        <v>6443.4</v>
      </c>
      <c r="L121" s="33">
        <f t="shared" si="17"/>
        <v>0</v>
      </c>
      <c r="M121" s="33">
        <f t="shared" si="17"/>
        <v>6443.4</v>
      </c>
      <c r="N121" s="33">
        <f t="shared" si="17"/>
        <v>6701.1</v>
      </c>
    </row>
    <row r="122" spans="1:14" s="152" customFormat="1" ht="54" x14ac:dyDescent="0.35">
      <c r="A122" s="18"/>
      <c r="B122" s="31" t="s">
        <v>101</v>
      </c>
      <c r="C122" s="32" t="s">
        <v>2</v>
      </c>
      <c r="D122" s="17" t="s">
        <v>54</v>
      </c>
      <c r="E122" s="17" t="s">
        <v>81</v>
      </c>
      <c r="F122" s="659" t="s">
        <v>102</v>
      </c>
      <c r="G122" s="660" t="s">
        <v>44</v>
      </c>
      <c r="H122" s="660" t="s">
        <v>45</v>
      </c>
      <c r="I122" s="661" t="s">
        <v>46</v>
      </c>
      <c r="J122" s="17"/>
      <c r="K122" s="33">
        <f t="shared" si="17"/>
        <v>6443.4</v>
      </c>
      <c r="L122" s="33">
        <f t="shared" si="17"/>
        <v>0</v>
      </c>
      <c r="M122" s="33">
        <f t="shared" si="17"/>
        <v>6443.4</v>
      </c>
      <c r="N122" s="33">
        <f t="shared" si="17"/>
        <v>6701.1</v>
      </c>
    </row>
    <row r="123" spans="1:14" s="14" customFormat="1" ht="36" x14ac:dyDescent="0.35">
      <c r="A123" s="18"/>
      <c r="B123" s="31" t="s">
        <v>345</v>
      </c>
      <c r="C123" s="32" t="s">
        <v>2</v>
      </c>
      <c r="D123" s="17" t="s">
        <v>54</v>
      </c>
      <c r="E123" s="17" t="s">
        <v>81</v>
      </c>
      <c r="F123" s="659" t="s">
        <v>102</v>
      </c>
      <c r="G123" s="660" t="s">
        <v>47</v>
      </c>
      <c r="H123" s="660" t="s">
        <v>45</v>
      </c>
      <c r="I123" s="661" t="s">
        <v>46</v>
      </c>
      <c r="J123" s="17"/>
      <c r="K123" s="33">
        <f t="shared" si="17"/>
        <v>6443.4</v>
      </c>
      <c r="L123" s="33">
        <f t="shared" si="17"/>
        <v>0</v>
      </c>
      <c r="M123" s="33">
        <f t="shared" si="17"/>
        <v>6443.4</v>
      </c>
      <c r="N123" s="33">
        <f t="shared" si="17"/>
        <v>6701.1</v>
      </c>
    </row>
    <row r="124" spans="1:14" s="14" customFormat="1" ht="90" x14ac:dyDescent="0.35">
      <c r="A124" s="18"/>
      <c r="B124" s="31" t="s">
        <v>103</v>
      </c>
      <c r="C124" s="32" t="s">
        <v>2</v>
      </c>
      <c r="D124" s="17" t="s">
        <v>54</v>
      </c>
      <c r="E124" s="17" t="s">
        <v>81</v>
      </c>
      <c r="F124" s="659" t="s">
        <v>102</v>
      </c>
      <c r="G124" s="660" t="s">
        <v>47</v>
      </c>
      <c r="H124" s="660" t="s">
        <v>39</v>
      </c>
      <c r="I124" s="661" t="s">
        <v>46</v>
      </c>
      <c r="J124" s="17"/>
      <c r="K124" s="33">
        <f t="shared" si="17"/>
        <v>6443.4</v>
      </c>
      <c r="L124" s="33">
        <f t="shared" si="17"/>
        <v>0</v>
      </c>
      <c r="M124" s="33">
        <f t="shared" si="17"/>
        <v>6443.4</v>
      </c>
      <c r="N124" s="33">
        <f t="shared" si="17"/>
        <v>6701.1</v>
      </c>
    </row>
    <row r="125" spans="1:14" s="14" customFormat="1" ht="75.75" customHeight="1" x14ac:dyDescent="0.35">
      <c r="A125" s="18"/>
      <c r="B125" s="37" t="s">
        <v>104</v>
      </c>
      <c r="C125" s="32" t="s">
        <v>2</v>
      </c>
      <c r="D125" s="17" t="s">
        <v>54</v>
      </c>
      <c r="E125" s="17" t="s">
        <v>81</v>
      </c>
      <c r="F125" s="659" t="s">
        <v>102</v>
      </c>
      <c r="G125" s="660" t="s">
        <v>47</v>
      </c>
      <c r="H125" s="660" t="s">
        <v>39</v>
      </c>
      <c r="I125" s="661" t="s">
        <v>105</v>
      </c>
      <c r="J125" s="17"/>
      <c r="K125" s="33">
        <f t="shared" si="17"/>
        <v>6443.4</v>
      </c>
      <c r="L125" s="33">
        <f t="shared" si="17"/>
        <v>0</v>
      </c>
      <c r="M125" s="33">
        <f t="shared" si="17"/>
        <v>6443.4</v>
      </c>
      <c r="N125" s="33">
        <f t="shared" si="17"/>
        <v>6701.1</v>
      </c>
    </row>
    <row r="126" spans="1:14" s="152" customFormat="1" ht="54" x14ac:dyDescent="0.35">
      <c r="A126" s="18"/>
      <c r="B126" s="31" t="s">
        <v>57</v>
      </c>
      <c r="C126" s="32" t="s">
        <v>2</v>
      </c>
      <c r="D126" s="17" t="s">
        <v>54</v>
      </c>
      <c r="E126" s="17" t="s">
        <v>81</v>
      </c>
      <c r="F126" s="659" t="s">
        <v>102</v>
      </c>
      <c r="G126" s="660" t="s">
        <v>47</v>
      </c>
      <c r="H126" s="660" t="s">
        <v>39</v>
      </c>
      <c r="I126" s="661" t="s">
        <v>105</v>
      </c>
      <c r="J126" s="17" t="s">
        <v>58</v>
      </c>
      <c r="K126" s="33">
        <v>6443.4</v>
      </c>
      <c r="L126" s="33">
        <f>M126-K126</f>
        <v>0</v>
      </c>
      <c r="M126" s="33">
        <v>6443.4</v>
      </c>
      <c r="N126" s="33">
        <v>6701.1</v>
      </c>
    </row>
    <row r="127" spans="1:14" s="14" customFormat="1" ht="36" x14ac:dyDescent="0.35">
      <c r="A127" s="18"/>
      <c r="B127" s="36" t="s">
        <v>108</v>
      </c>
      <c r="C127" s="32" t="s">
        <v>2</v>
      </c>
      <c r="D127" s="17" t="s">
        <v>54</v>
      </c>
      <c r="E127" s="17" t="s">
        <v>102</v>
      </c>
      <c r="F127" s="659"/>
      <c r="G127" s="660"/>
      <c r="H127" s="660"/>
      <c r="I127" s="661"/>
      <c r="J127" s="17"/>
      <c r="K127" s="33">
        <f>K128+K137+K144</f>
        <v>9150.2999999999993</v>
      </c>
      <c r="L127" s="33">
        <f>L128+L137+L144</f>
        <v>0</v>
      </c>
      <c r="M127" s="33">
        <f>M128+M137+M144</f>
        <v>9150.2999999999993</v>
      </c>
      <c r="N127" s="33">
        <f>N128+N137+N144</f>
        <v>7502.6</v>
      </c>
    </row>
    <row r="128" spans="1:14" s="152" customFormat="1" ht="72" x14ac:dyDescent="0.35">
      <c r="A128" s="18"/>
      <c r="B128" s="31" t="s">
        <v>109</v>
      </c>
      <c r="C128" s="32" t="s">
        <v>2</v>
      </c>
      <c r="D128" s="17" t="s">
        <v>54</v>
      </c>
      <c r="E128" s="17" t="s">
        <v>102</v>
      </c>
      <c r="F128" s="659" t="s">
        <v>73</v>
      </c>
      <c r="G128" s="660" t="s">
        <v>44</v>
      </c>
      <c r="H128" s="660" t="s">
        <v>45</v>
      </c>
      <c r="I128" s="661" t="s">
        <v>46</v>
      </c>
      <c r="J128" s="17"/>
      <c r="K128" s="33">
        <f>K133+K129</f>
        <v>1025.0999999999999</v>
      </c>
      <c r="L128" s="33">
        <f>L133+L129</f>
        <v>0</v>
      </c>
      <c r="M128" s="33">
        <f>M133+M129</f>
        <v>1025.0999999999999</v>
      </c>
      <c r="N128" s="33">
        <f>N133+N129</f>
        <v>1025.0999999999999</v>
      </c>
    </row>
    <row r="129" spans="1:14" s="152" customFormat="1" ht="54" x14ac:dyDescent="0.35">
      <c r="A129" s="18"/>
      <c r="B129" s="36" t="s">
        <v>110</v>
      </c>
      <c r="C129" s="32" t="s">
        <v>2</v>
      </c>
      <c r="D129" s="17" t="s">
        <v>54</v>
      </c>
      <c r="E129" s="17" t="s">
        <v>102</v>
      </c>
      <c r="F129" s="659" t="s">
        <v>73</v>
      </c>
      <c r="G129" s="660" t="s">
        <v>47</v>
      </c>
      <c r="H129" s="660" t="s">
        <v>45</v>
      </c>
      <c r="I129" s="661" t="s">
        <v>46</v>
      </c>
      <c r="J129" s="17"/>
      <c r="K129" s="33">
        <f t="shared" ref="K129:N131" si="18">K130</f>
        <v>310</v>
      </c>
      <c r="L129" s="33">
        <f t="shared" si="18"/>
        <v>0</v>
      </c>
      <c r="M129" s="33">
        <f t="shared" si="18"/>
        <v>310</v>
      </c>
      <c r="N129" s="33">
        <f t="shared" si="18"/>
        <v>310</v>
      </c>
    </row>
    <row r="130" spans="1:14" s="152" customFormat="1" ht="36" x14ac:dyDescent="0.35">
      <c r="A130" s="18"/>
      <c r="B130" s="31" t="s">
        <v>111</v>
      </c>
      <c r="C130" s="32" t="s">
        <v>2</v>
      </c>
      <c r="D130" s="17" t="s">
        <v>54</v>
      </c>
      <c r="E130" s="17" t="s">
        <v>102</v>
      </c>
      <c r="F130" s="659" t="s">
        <v>73</v>
      </c>
      <c r="G130" s="660" t="s">
        <v>47</v>
      </c>
      <c r="H130" s="660" t="s">
        <v>39</v>
      </c>
      <c r="I130" s="661" t="s">
        <v>46</v>
      </c>
      <c r="J130" s="17"/>
      <c r="K130" s="33">
        <f t="shared" si="18"/>
        <v>310</v>
      </c>
      <c r="L130" s="33">
        <f t="shared" si="18"/>
        <v>0</v>
      </c>
      <c r="M130" s="33">
        <f t="shared" si="18"/>
        <v>310</v>
      </c>
      <c r="N130" s="33">
        <f t="shared" si="18"/>
        <v>310</v>
      </c>
    </row>
    <row r="131" spans="1:14" s="152" customFormat="1" ht="36" x14ac:dyDescent="0.35">
      <c r="A131" s="18"/>
      <c r="B131" s="36" t="s">
        <v>112</v>
      </c>
      <c r="C131" s="32" t="s">
        <v>2</v>
      </c>
      <c r="D131" s="17" t="s">
        <v>54</v>
      </c>
      <c r="E131" s="17" t="s">
        <v>102</v>
      </c>
      <c r="F131" s="659" t="s">
        <v>73</v>
      </c>
      <c r="G131" s="660" t="s">
        <v>47</v>
      </c>
      <c r="H131" s="660" t="s">
        <v>39</v>
      </c>
      <c r="I131" s="661" t="s">
        <v>113</v>
      </c>
      <c r="J131" s="17"/>
      <c r="K131" s="33">
        <f t="shared" si="18"/>
        <v>310</v>
      </c>
      <c r="L131" s="33">
        <f t="shared" si="18"/>
        <v>0</v>
      </c>
      <c r="M131" s="33">
        <f t="shared" si="18"/>
        <v>310</v>
      </c>
      <c r="N131" s="33">
        <f t="shared" si="18"/>
        <v>310</v>
      </c>
    </row>
    <row r="132" spans="1:14" s="152" customFormat="1" ht="54" x14ac:dyDescent="0.35">
      <c r="A132" s="18"/>
      <c r="B132" s="31" t="s">
        <v>57</v>
      </c>
      <c r="C132" s="32" t="s">
        <v>2</v>
      </c>
      <c r="D132" s="17" t="s">
        <v>54</v>
      </c>
      <c r="E132" s="17" t="s">
        <v>102</v>
      </c>
      <c r="F132" s="659" t="s">
        <v>73</v>
      </c>
      <c r="G132" s="660" t="s">
        <v>47</v>
      </c>
      <c r="H132" s="660" t="s">
        <v>39</v>
      </c>
      <c r="I132" s="661" t="s">
        <v>113</v>
      </c>
      <c r="J132" s="17" t="s">
        <v>58</v>
      </c>
      <c r="K132" s="33">
        <v>310</v>
      </c>
      <c r="L132" s="33">
        <f>M132-K132</f>
        <v>0</v>
      </c>
      <c r="M132" s="33">
        <v>310</v>
      </c>
      <c r="N132" s="33">
        <v>310</v>
      </c>
    </row>
    <row r="133" spans="1:14" s="152" customFormat="1" ht="36" x14ac:dyDescent="0.35">
      <c r="A133" s="18"/>
      <c r="B133" s="36" t="s">
        <v>114</v>
      </c>
      <c r="C133" s="32" t="s">
        <v>2</v>
      </c>
      <c r="D133" s="17" t="s">
        <v>54</v>
      </c>
      <c r="E133" s="17" t="s">
        <v>102</v>
      </c>
      <c r="F133" s="659" t="s">
        <v>73</v>
      </c>
      <c r="G133" s="660" t="s">
        <v>91</v>
      </c>
      <c r="H133" s="660" t="s">
        <v>45</v>
      </c>
      <c r="I133" s="661" t="s">
        <v>46</v>
      </c>
      <c r="J133" s="17"/>
      <c r="K133" s="33">
        <f t="shared" ref="K133:N135" si="19">K134</f>
        <v>715.1</v>
      </c>
      <c r="L133" s="33">
        <f t="shared" si="19"/>
        <v>0</v>
      </c>
      <c r="M133" s="33">
        <f t="shared" si="19"/>
        <v>715.1</v>
      </c>
      <c r="N133" s="33">
        <f t="shared" si="19"/>
        <v>715.1</v>
      </c>
    </row>
    <row r="134" spans="1:14" s="14" customFormat="1" ht="54" x14ac:dyDescent="0.35">
      <c r="A134" s="18"/>
      <c r="B134" s="36" t="s">
        <v>115</v>
      </c>
      <c r="C134" s="32" t="s">
        <v>2</v>
      </c>
      <c r="D134" s="17" t="s">
        <v>54</v>
      </c>
      <c r="E134" s="17" t="s">
        <v>102</v>
      </c>
      <c r="F134" s="659" t="s">
        <v>73</v>
      </c>
      <c r="G134" s="660" t="s">
        <v>91</v>
      </c>
      <c r="H134" s="660" t="s">
        <v>39</v>
      </c>
      <c r="I134" s="661" t="s">
        <v>46</v>
      </c>
      <c r="J134" s="17"/>
      <c r="K134" s="33">
        <f t="shared" si="19"/>
        <v>715.1</v>
      </c>
      <c r="L134" s="33">
        <f t="shared" si="19"/>
        <v>0</v>
      </c>
      <c r="M134" s="33">
        <f t="shared" si="19"/>
        <v>715.1</v>
      </c>
      <c r="N134" s="33">
        <f t="shared" si="19"/>
        <v>715.1</v>
      </c>
    </row>
    <row r="135" spans="1:14" s="152" customFormat="1" ht="79.5" customHeight="1" x14ac:dyDescent="0.35">
      <c r="A135" s="18"/>
      <c r="B135" s="36" t="s">
        <v>116</v>
      </c>
      <c r="C135" s="32" t="s">
        <v>2</v>
      </c>
      <c r="D135" s="17" t="s">
        <v>54</v>
      </c>
      <c r="E135" s="17" t="s">
        <v>102</v>
      </c>
      <c r="F135" s="659" t="s">
        <v>73</v>
      </c>
      <c r="G135" s="660" t="s">
        <v>91</v>
      </c>
      <c r="H135" s="660" t="s">
        <v>39</v>
      </c>
      <c r="I135" s="661" t="s">
        <v>117</v>
      </c>
      <c r="J135" s="17"/>
      <c r="K135" s="33">
        <f t="shared" si="19"/>
        <v>715.1</v>
      </c>
      <c r="L135" s="33">
        <f t="shared" si="19"/>
        <v>0</v>
      </c>
      <c r="M135" s="33">
        <f t="shared" si="19"/>
        <v>715.1</v>
      </c>
      <c r="N135" s="33">
        <f t="shared" si="19"/>
        <v>715.1</v>
      </c>
    </row>
    <row r="136" spans="1:14" s="14" customFormat="1" ht="54" x14ac:dyDescent="0.35">
      <c r="A136" s="18"/>
      <c r="B136" s="31" t="s">
        <v>57</v>
      </c>
      <c r="C136" s="32" t="s">
        <v>2</v>
      </c>
      <c r="D136" s="17" t="s">
        <v>54</v>
      </c>
      <c r="E136" s="17" t="s">
        <v>102</v>
      </c>
      <c r="F136" s="659" t="s">
        <v>73</v>
      </c>
      <c r="G136" s="660" t="s">
        <v>91</v>
      </c>
      <c r="H136" s="660" t="s">
        <v>39</v>
      </c>
      <c r="I136" s="661" t="s">
        <v>117</v>
      </c>
      <c r="J136" s="17" t="s">
        <v>58</v>
      </c>
      <c r="K136" s="33">
        <v>715.1</v>
      </c>
      <c r="L136" s="33">
        <f>M136-K136</f>
        <v>0</v>
      </c>
      <c r="M136" s="33">
        <v>715.1</v>
      </c>
      <c r="N136" s="33">
        <v>715.1</v>
      </c>
    </row>
    <row r="137" spans="1:14" s="152" customFormat="1" ht="72" x14ac:dyDescent="0.35">
      <c r="A137" s="18"/>
      <c r="B137" s="31" t="s">
        <v>118</v>
      </c>
      <c r="C137" s="32" t="s">
        <v>2</v>
      </c>
      <c r="D137" s="17" t="s">
        <v>54</v>
      </c>
      <c r="E137" s="17" t="s">
        <v>102</v>
      </c>
      <c r="F137" s="659" t="s">
        <v>90</v>
      </c>
      <c r="G137" s="660" t="s">
        <v>44</v>
      </c>
      <c r="H137" s="660" t="s">
        <v>45</v>
      </c>
      <c r="I137" s="661" t="s">
        <v>46</v>
      </c>
      <c r="J137" s="17"/>
      <c r="K137" s="33">
        <f t="shared" ref="K137:N138" si="20">K138</f>
        <v>891.2</v>
      </c>
      <c r="L137" s="33">
        <f t="shared" si="20"/>
        <v>0</v>
      </c>
      <c r="M137" s="33">
        <f t="shared" si="20"/>
        <v>891.19999999999993</v>
      </c>
      <c r="N137" s="33">
        <f t="shared" si="20"/>
        <v>934.19999999999993</v>
      </c>
    </row>
    <row r="138" spans="1:14" s="152" customFormat="1" ht="36" x14ac:dyDescent="0.35">
      <c r="A138" s="18"/>
      <c r="B138" s="31" t="s">
        <v>345</v>
      </c>
      <c r="C138" s="32" t="s">
        <v>2</v>
      </c>
      <c r="D138" s="17" t="s">
        <v>54</v>
      </c>
      <c r="E138" s="17" t="s">
        <v>102</v>
      </c>
      <c r="F138" s="659" t="s">
        <v>90</v>
      </c>
      <c r="G138" s="660" t="s">
        <v>47</v>
      </c>
      <c r="H138" s="660" t="s">
        <v>45</v>
      </c>
      <c r="I138" s="661" t="s">
        <v>46</v>
      </c>
      <c r="J138" s="17"/>
      <c r="K138" s="33">
        <f t="shared" si="20"/>
        <v>891.2</v>
      </c>
      <c r="L138" s="33">
        <f t="shared" si="20"/>
        <v>0</v>
      </c>
      <c r="M138" s="33">
        <f t="shared" si="20"/>
        <v>891.19999999999993</v>
      </c>
      <c r="N138" s="33">
        <f t="shared" si="20"/>
        <v>934.19999999999993</v>
      </c>
    </row>
    <row r="139" spans="1:14" s="14" customFormat="1" ht="72" x14ac:dyDescent="0.35">
      <c r="A139" s="18"/>
      <c r="B139" s="36" t="s">
        <v>311</v>
      </c>
      <c r="C139" s="32" t="s">
        <v>2</v>
      </c>
      <c r="D139" s="17" t="s">
        <v>54</v>
      </c>
      <c r="E139" s="17" t="s">
        <v>102</v>
      </c>
      <c r="F139" s="659" t="s">
        <v>90</v>
      </c>
      <c r="G139" s="660" t="s">
        <v>47</v>
      </c>
      <c r="H139" s="660" t="s">
        <v>39</v>
      </c>
      <c r="I139" s="661" t="s">
        <v>46</v>
      </c>
      <c r="J139" s="17"/>
      <c r="K139" s="33">
        <f>K142+K140</f>
        <v>891.2</v>
      </c>
      <c r="L139" s="33">
        <f>L142+L140</f>
        <v>0</v>
      </c>
      <c r="M139" s="33">
        <f>M142+M140</f>
        <v>891.19999999999993</v>
      </c>
      <c r="N139" s="33">
        <f>N142+N140</f>
        <v>934.19999999999993</v>
      </c>
    </row>
    <row r="140" spans="1:14" s="14" customFormat="1" ht="54" x14ac:dyDescent="0.35">
      <c r="A140" s="18"/>
      <c r="B140" s="36" t="s">
        <v>119</v>
      </c>
      <c r="C140" s="32" t="s">
        <v>2</v>
      </c>
      <c r="D140" s="17" t="s">
        <v>54</v>
      </c>
      <c r="E140" s="17" t="s">
        <v>102</v>
      </c>
      <c r="F140" s="659" t="s">
        <v>90</v>
      </c>
      <c r="G140" s="660" t="s">
        <v>47</v>
      </c>
      <c r="H140" s="660" t="s">
        <v>39</v>
      </c>
      <c r="I140" s="661" t="s">
        <v>120</v>
      </c>
      <c r="J140" s="17"/>
      <c r="K140" s="33">
        <f>K141</f>
        <v>112.2</v>
      </c>
      <c r="L140" s="33">
        <f>L141</f>
        <v>-43.3</v>
      </c>
      <c r="M140" s="33">
        <f>M141</f>
        <v>68.900000000000006</v>
      </c>
      <c r="N140" s="33">
        <f>N141</f>
        <v>111.9</v>
      </c>
    </row>
    <row r="141" spans="1:14" s="14" customFormat="1" ht="54" x14ac:dyDescent="0.35">
      <c r="A141" s="18"/>
      <c r="B141" s="31" t="s">
        <v>57</v>
      </c>
      <c r="C141" s="32" t="s">
        <v>2</v>
      </c>
      <c r="D141" s="17" t="s">
        <v>54</v>
      </c>
      <c r="E141" s="17" t="s">
        <v>102</v>
      </c>
      <c r="F141" s="659" t="s">
        <v>90</v>
      </c>
      <c r="G141" s="660" t="s">
        <v>47</v>
      </c>
      <c r="H141" s="660" t="s">
        <v>39</v>
      </c>
      <c r="I141" s="661" t="s">
        <v>120</v>
      </c>
      <c r="J141" s="17" t="s">
        <v>58</v>
      </c>
      <c r="K141" s="33">
        <v>112.2</v>
      </c>
      <c r="L141" s="33">
        <f>M141-K141</f>
        <v>-43.3</v>
      </c>
      <c r="M141" s="33">
        <f>112.2-43.3</f>
        <v>68.900000000000006</v>
      </c>
      <c r="N141" s="33">
        <f>112.2-0.3</f>
        <v>111.9</v>
      </c>
    </row>
    <row r="142" spans="1:14" s="14" customFormat="1" ht="90" x14ac:dyDescent="0.35">
      <c r="A142" s="18"/>
      <c r="B142" s="31" t="s">
        <v>691</v>
      </c>
      <c r="C142" s="32" t="s">
        <v>2</v>
      </c>
      <c r="D142" s="17" t="s">
        <v>54</v>
      </c>
      <c r="E142" s="17" t="s">
        <v>102</v>
      </c>
      <c r="F142" s="659" t="s">
        <v>90</v>
      </c>
      <c r="G142" s="660" t="s">
        <v>47</v>
      </c>
      <c r="H142" s="660" t="s">
        <v>39</v>
      </c>
      <c r="I142" s="661" t="s">
        <v>689</v>
      </c>
      <c r="J142" s="17"/>
      <c r="K142" s="33">
        <f t="shared" ref="K142:N142" si="21">K143</f>
        <v>779</v>
      </c>
      <c r="L142" s="33">
        <f t="shared" si="21"/>
        <v>43.299999999999955</v>
      </c>
      <c r="M142" s="33">
        <f t="shared" si="21"/>
        <v>822.3</v>
      </c>
      <c r="N142" s="33">
        <f t="shared" si="21"/>
        <v>822.3</v>
      </c>
    </row>
    <row r="143" spans="1:14" s="14" customFormat="1" ht="54" x14ac:dyDescent="0.35">
      <c r="A143" s="18"/>
      <c r="B143" s="31" t="s">
        <v>57</v>
      </c>
      <c r="C143" s="32" t="s">
        <v>2</v>
      </c>
      <c r="D143" s="17" t="s">
        <v>54</v>
      </c>
      <c r="E143" s="17" t="s">
        <v>102</v>
      </c>
      <c r="F143" s="659" t="s">
        <v>90</v>
      </c>
      <c r="G143" s="660" t="s">
        <v>47</v>
      </c>
      <c r="H143" s="660" t="s">
        <v>39</v>
      </c>
      <c r="I143" s="661" t="s">
        <v>689</v>
      </c>
      <c r="J143" s="17" t="s">
        <v>58</v>
      </c>
      <c r="K143" s="33">
        <v>779</v>
      </c>
      <c r="L143" s="33">
        <f>M143-K143</f>
        <v>43.299999999999955</v>
      </c>
      <c r="M143" s="33">
        <f>779+43.3</f>
        <v>822.3</v>
      </c>
      <c r="N143" s="33">
        <f>779+43+0.3</f>
        <v>822.3</v>
      </c>
    </row>
    <row r="144" spans="1:14" s="14" customFormat="1" ht="54" x14ac:dyDescent="0.35">
      <c r="A144" s="18"/>
      <c r="B144" s="31" t="s">
        <v>42</v>
      </c>
      <c r="C144" s="32" t="s">
        <v>2</v>
      </c>
      <c r="D144" s="17" t="s">
        <v>54</v>
      </c>
      <c r="E144" s="17" t="s">
        <v>102</v>
      </c>
      <c r="F144" s="659" t="s">
        <v>43</v>
      </c>
      <c r="G144" s="660" t="s">
        <v>44</v>
      </c>
      <c r="H144" s="660" t="s">
        <v>45</v>
      </c>
      <c r="I144" s="661" t="s">
        <v>46</v>
      </c>
      <c r="J144" s="17"/>
      <c r="K144" s="33">
        <f t="shared" ref="K144:N145" si="22">K145</f>
        <v>7234</v>
      </c>
      <c r="L144" s="33">
        <f t="shared" si="22"/>
        <v>0</v>
      </c>
      <c r="M144" s="33">
        <f t="shared" si="22"/>
        <v>7234</v>
      </c>
      <c r="N144" s="33">
        <f t="shared" si="22"/>
        <v>5543.3</v>
      </c>
    </row>
    <row r="145" spans="1:14" s="14" customFormat="1" ht="36" x14ac:dyDescent="0.35">
      <c r="A145" s="18"/>
      <c r="B145" s="31" t="s">
        <v>345</v>
      </c>
      <c r="C145" s="32" t="s">
        <v>2</v>
      </c>
      <c r="D145" s="17" t="s">
        <v>54</v>
      </c>
      <c r="E145" s="17" t="s">
        <v>102</v>
      </c>
      <c r="F145" s="659" t="s">
        <v>43</v>
      </c>
      <c r="G145" s="660" t="s">
        <v>47</v>
      </c>
      <c r="H145" s="660" t="s">
        <v>45</v>
      </c>
      <c r="I145" s="661" t="s">
        <v>46</v>
      </c>
      <c r="J145" s="17"/>
      <c r="K145" s="33">
        <f t="shared" si="22"/>
        <v>7234</v>
      </c>
      <c r="L145" s="33">
        <f t="shared" si="22"/>
        <v>0</v>
      </c>
      <c r="M145" s="33">
        <f t="shared" si="22"/>
        <v>7234</v>
      </c>
      <c r="N145" s="33">
        <f t="shared" si="22"/>
        <v>5543.3</v>
      </c>
    </row>
    <row r="146" spans="1:14" s="14" customFormat="1" ht="54" x14ac:dyDescent="0.35">
      <c r="A146" s="18"/>
      <c r="B146" s="31" t="s">
        <v>337</v>
      </c>
      <c r="C146" s="32" t="s">
        <v>2</v>
      </c>
      <c r="D146" s="17" t="s">
        <v>54</v>
      </c>
      <c r="E146" s="17" t="s">
        <v>102</v>
      </c>
      <c r="F146" s="659" t="s">
        <v>43</v>
      </c>
      <c r="G146" s="660" t="s">
        <v>47</v>
      </c>
      <c r="H146" s="660" t="s">
        <v>90</v>
      </c>
      <c r="I146" s="661" t="s">
        <v>46</v>
      </c>
      <c r="J146" s="17"/>
      <c r="K146" s="33">
        <f>K147+K150</f>
        <v>7234</v>
      </c>
      <c r="L146" s="33">
        <f>L147+L150</f>
        <v>0</v>
      </c>
      <c r="M146" s="33">
        <f>M147+M150</f>
        <v>7234</v>
      </c>
      <c r="N146" s="33">
        <f>N147+N150</f>
        <v>5543.3</v>
      </c>
    </row>
    <row r="147" spans="1:14" s="14" customFormat="1" ht="41.25" customHeight="1" x14ac:dyDescent="0.35">
      <c r="A147" s="18"/>
      <c r="B147" s="112" t="s">
        <v>540</v>
      </c>
      <c r="C147" s="32" t="s">
        <v>2</v>
      </c>
      <c r="D147" s="17" t="s">
        <v>54</v>
      </c>
      <c r="E147" s="17" t="s">
        <v>102</v>
      </c>
      <c r="F147" s="659" t="s">
        <v>43</v>
      </c>
      <c r="G147" s="660" t="s">
        <v>47</v>
      </c>
      <c r="H147" s="660" t="s">
        <v>90</v>
      </c>
      <c r="I147" s="661" t="s">
        <v>93</v>
      </c>
      <c r="J147" s="17"/>
      <c r="K147" s="33">
        <f>K148+K149</f>
        <v>5491</v>
      </c>
      <c r="L147" s="33">
        <f>L148+L149</f>
        <v>0</v>
      </c>
      <c r="M147" s="33">
        <f>M148+M149</f>
        <v>5491</v>
      </c>
      <c r="N147" s="33">
        <f>N148+N149</f>
        <v>5543.3</v>
      </c>
    </row>
    <row r="148" spans="1:14" s="14" customFormat="1" ht="108" x14ac:dyDescent="0.35">
      <c r="A148" s="18"/>
      <c r="B148" s="31" t="s">
        <v>51</v>
      </c>
      <c r="C148" s="32" t="s">
        <v>2</v>
      </c>
      <c r="D148" s="17" t="s">
        <v>54</v>
      </c>
      <c r="E148" s="17" t="s">
        <v>102</v>
      </c>
      <c r="F148" s="659" t="s">
        <v>43</v>
      </c>
      <c r="G148" s="660" t="s">
        <v>47</v>
      </c>
      <c r="H148" s="660" t="s">
        <v>90</v>
      </c>
      <c r="I148" s="661" t="s">
        <v>93</v>
      </c>
      <c r="J148" s="17" t="s">
        <v>52</v>
      </c>
      <c r="K148" s="33">
        <v>5398</v>
      </c>
      <c r="L148" s="33">
        <f>M148-K148</f>
        <v>0</v>
      </c>
      <c r="M148" s="33">
        <v>5398</v>
      </c>
      <c r="N148" s="33">
        <v>5398</v>
      </c>
    </row>
    <row r="149" spans="1:14" s="14" customFormat="1" ht="54" x14ac:dyDescent="0.35">
      <c r="A149" s="18"/>
      <c r="B149" s="31" t="s">
        <v>57</v>
      </c>
      <c r="C149" s="32" t="s">
        <v>2</v>
      </c>
      <c r="D149" s="17" t="s">
        <v>54</v>
      </c>
      <c r="E149" s="17" t="s">
        <v>102</v>
      </c>
      <c r="F149" s="659" t="s">
        <v>43</v>
      </c>
      <c r="G149" s="660" t="s">
        <v>47</v>
      </c>
      <c r="H149" s="660" t="s">
        <v>90</v>
      </c>
      <c r="I149" s="661" t="s">
        <v>93</v>
      </c>
      <c r="J149" s="17" t="s">
        <v>58</v>
      </c>
      <c r="K149" s="33">
        <f>145.3-52.3</f>
        <v>93.000000000000014</v>
      </c>
      <c r="L149" s="33">
        <f>M149-K149</f>
        <v>0</v>
      </c>
      <c r="M149" s="33">
        <f>145.3-52.3</f>
        <v>93.000000000000014</v>
      </c>
      <c r="N149" s="33">
        <v>145.30000000000001</v>
      </c>
    </row>
    <row r="150" spans="1:14" s="14" customFormat="1" ht="54" x14ac:dyDescent="0.35">
      <c r="A150" s="18"/>
      <c r="B150" s="31" t="s">
        <v>710</v>
      </c>
      <c r="C150" s="32" t="s">
        <v>2</v>
      </c>
      <c r="D150" s="17" t="s">
        <v>54</v>
      </c>
      <c r="E150" s="17" t="s">
        <v>102</v>
      </c>
      <c r="F150" s="659" t="s">
        <v>43</v>
      </c>
      <c r="G150" s="660" t="s">
        <v>47</v>
      </c>
      <c r="H150" s="660" t="s">
        <v>90</v>
      </c>
      <c r="I150" s="661" t="s">
        <v>709</v>
      </c>
      <c r="J150" s="17"/>
      <c r="K150" s="33">
        <f>K151</f>
        <v>1743</v>
      </c>
      <c r="L150" s="33">
        <f>L151</f>
        <v>0</v>
      </c>
      <c r="M150" s="33">
        <f>M151</f>
        <v>1743</v>
      </c>
      <c r="N150" s="33">
        <f>N151</f>
        <v>0</v>
      </c>
    </row>
    <row r="151" spans="1:14" s="14" customFormat="1" ht="54" x14ac:dyDescent="0.35">
      <c r="A151" s="18"/>
      <c r="B151" s="31" t="s">
        <v>57</v>
      </c>
      <c r="C151" s="32" t="s">
        <v>2</v>
      </c>
      <c r="D151" s="17" t="s">
        <v>54</v>
      </c>
      <c r="E151" s="17" t="s">
        <v>102</v>
      </c>
      <c r="F151" s="659" t="s">
        <v>43</v>
      </c>
      <c r="G151" s="660" t="s">
        <v>47</v>
      </c>
      <c r="H151" s="660" t="s">
        <v>90</v>
      </c>
      <c r="I151" s="661" t="s">
        <v>709</v>
      </c>
      <c r="J151" s="17" t="s">
        <v>58</v>
      </c>
      <c r="K151" s="33">
        <f>52.3+1690.7</f>
        <v>1743</v>
      </c>
      <c r="L151" s="33">
        <f>M151-K151</f>
        <v>0</v>
      </c>
      <c r="M151" s="33">
        <f>52.3+1690.7</f>
        <v>1743</v>
      </c>
      <c r="N151" s="33">
        <v>0</v>
      </c>
    </row>
    <row r="152" spans="1:14" s="14" customFormat="1" ht="18" x14ac:dyDescent="0.35">
      <c r="A152" s="18"/>
      <c r="B152" s="372" t="s">
        <v>635</v>
      </c>
      <c r="C152" s="32" t="s">
        <v>2</v>
      </c>
      <c r="D152" s="17" t="s">
        <v>67</v>
      </c>
      <c r="E152" s="17" t="s">
        <v>65</v>
      </c>
      <c r="F152" s="659"/>
      <c r="G152" s="660"/>
      <c r="H152" s="660"/>
      <c r="I152" s="661"/>
      <c r="J152" s="17"/>
      <c r="K152" s="33">
        <f t="shared" ref="K152:N152" si="23">K153</f>
        <v>3516.2</v>
      </c>
      <c r="L152" s="33">
        <f t="shared" si="23"/>
        <v>0</v>
      </c>
      <c r="M152" s="33">
        <f t="shared" si="23"/>
        <v>3516.2</v>
      </c>
      <c r="N152" s="33">
        <f t="shared" si="23"/>
        <v>0</v>
      </c>
    </row>
    <row r="153" spans="1:14" s="14" customFormat="1" ht="72" x14ac:dyDescent="0.35">
      <c r="A153" s="18"/>
      <c r="B153" s="372" t="s">
        <v>636</v>
      </c>
      <c r="C153" s="32" t="s">
        <v>2</v>
      </c>
      <c r="D153" s="17" t="s">
        <v>67</v>
      </c>
      <c r="E153" s="17" t="s">
        <v>65</v>
      </c>
      <c r="F153" s="659" t="s">
        <v>106</v>
      </c>
      <c r="G153" s="660" t="s">
        <v>44</v>
      </c>
      <c r="H153" s="660" t="s">
        <v>45</v>
      </c>
      <c r="I153" s="661" t="s">
        <v>46</v>
      </c>
      <c r="J153" s="17"/>
      <c r="K153" s="33">
        <f t="shared" ref="K153:N156" si="24">K154</f>
        <v>3516.2</v>
      </c>
      <c r="L153" s="33">
        <f t="shared" si="24"/>
        <v>0</v>
      </c>
      <c r="M153" s="33">
        <f t="shared" si="24"/>
        <v>3516.2</v>
      </c>
      <c r="N153" s="33">
        <f t="shared" si="24"/>
        <v>0</v>
      </c>
    </row>
    <row r="154" spans="1:14" s="14" customFormat="1" ht="54" x14ac:dyDescent="0.35">
      <c r="A154" s="18"/>
      <c r="B154" s="31" t="s">
        <v>637</v>
      </c>
      <c r="C154" s="32" t="s">
        <v>2</v>
      </c>
      <c r="D154" s="17" t="s">
        <v>67</v>
      </c>
      <c r="E154" s="17" t="s">
        <v>65</v>
      </c>
      <c r="F154" s="659" t="s">
        <v>106</v>
      </c>
      <c r="G154" s="660" t="s">
        <v>36</v>
      </c>
      <c r="H154" s="660" t="s">
        <v>45</v>
      </c>
      <c r="I154" s="661" t="s">
        <v>46</v>
      </c>
      <c r="J154" s="17"/>
      <c r="K154" s="33">
        <f t="shared" si="24"/>
        <v>3516.2</v>
      </c>
      <c r="L154" s="33">
        <f t="shared" si="24"/>
        <v>0</v>
      </c>
      <c r="M154" s="33">
        <f t="shared" si="24"/>
        <v>3516.2</v>
      </c>
      <c r="N154" s="33">
        <f t="shared" si="24"/>
        <v>0</v>
      </c>
    </row>
    <row r="155" spans="1:14" s="14" customFormat="1" ht="54" x14ac:dyDescent="0.35">
      <c r="A155" s="18"/>
      <c r="B155" s="31" t="s">
        <v>638</v>
      </c>
      <c r="C155" s="32" t="s">
        <v>2</v>
      </c>
      <c r="D155" s="17" t="s">
        <v>67</v>
      </c>
      <c r="E155" s="17" t="s">
        <v>65</v>
      </c>
      <c r="F155" s="659" t="s">
        <v>106</v>
      </c>
      <c r="G155" s="660" t="s">
        <v>36</v>
      </c>
      <c r="H155" s="660" t="s">
        <v>39</v>
      </c>
      <c r="I155" s="661" t="s">
        <v>46</v>
      </c>
      <c r="J155" s="17"/>
      <c r="K155" s="33">
        <f t="shared" si="24"/>
        <v>3516.2</v>
      </c>
      <c r="L155" s="33">
        <f t="shared" si="24"/>
        <v>0</v>
      </c>
      <c r="M155" s="33">
        <f t="shared" si="24"/>
        <v>3516.2</v>
      </c>
      <c r="N155" s="33">
        <f t="shared" si="24"/>
        <v>0</v>
      </c>
    </row>
    <row r="156" spans="1:14" s="14" customFormat="1" ht="36" x14ac:dyDescent="0.35">
      <c r="A156" s="18"/>
      <c r="B156" s="31" t="s">
        <v>639</v>
      </c>
      <c r="C156" s="32" t="s">
        <v>2</v>
      </c>
      <c r="D156" s="17" t="s">
        <v>67</v>
      </c>
      <c r="E156" s="17" t="s">
        <v>65</v>
      </c>
      <c r="F156" s="659" t="s">
        <v>106</v>
      </c>
      <c r="G156" s="660" t="s">
        <v>36</v>
      </c>
      <c r="H156" s="660" t="s">
        <v>39</v>
      </c>
      <c r="I156" s="661" t="s">
        <v>640</v>
      </c>
      <c r="J156" s="17"/>
      <c r="K156" s="33">
        <f t="shared" si="24"/>
        <v>3516.2</v>
      </c>
      <c r="L156" s="33">
        <f t="shared" si="24"/>
        <v>0</v>
      </c>
      <c r="M156" s="33">
        <f t="shared" si="24"/>
        <v>3516.2</v>
      </c>
      <c r="N156" s="33">
        <f t="shared" si="24"/>
        <v>0</v>
      </c>
    </row>
    <row r="157" spans="1:14" s="14" customFormat="1" ht="54" x14ac:dyDescent="0.35">
      <c r="A157" s="18"/>
      <c r="B157" s="31" t="s">
        <v>57</v>
      </c>
      <c r="C157" s="32" t="s">
        <v>2</v>
      </c>
      <c r="D157" s="17" t="s">
        <v>67</v>
      </c>
      <c r="E157" s="17" t="s">
        <v>65</v>
      </c>
      <c r="F157" s="659" t="s">
        <v>106</v>
      </c>
      <c r="G157" s="660" t="s">
        <v>36</v>
      </c>
      <c r="H157" s="660" t="s">
        <v>39</v>
      </c>
      <c r="I157" s="661" t="s">
        <v>640</v>
      </c>
      <c r="J157" s="17" t="s">
        <v>58</v>
      </c>
      <c r="K157" s="33">
        <v>3516.2</v>
      </c>
      <c r="L157" s="33">
        <f>M157-K157</f>
        <v>0</v>
      </c>
      <c r="M157" s="33">
        <v>3516.2</v>
      </c>
      <c r="N157" s="33">
        <v>0</v>
      </c>
    </row>
    <row r="158" spans="1:14" s="152" customFormat="1" ht="18" x14ac:dyDescent="0.35">
      <c r="A158" s="18"/>
      <c r="B158" s="31" t="s">
        <v>121</v>
      </c>
      <c r="C158" s="32" t="s">
        <v>2</v>
      </c>
      <c r="D158" s="17" t="s">
        <v>106</v>
      </c>
      <c r="E158" s="17"/>
      <c r="F158" s="659"/>
      <c r="G158" s="660"/>
      <c r="H158" s="660"/>
      <c r="I158" s="661"/>
      <c r="J158" s="17"/>
      <c r="K158" s="33">
        <f>K159+K165</f>
        <v>1456.1</v>
      </c>
      <c r="L158" s="33">
        <f>L159+L165</f>
        <v>0</v>
      </c>
      <c r="M158" s="33">
        <f>M159+M165</f>
        <v>1456.1</v>
      </c>
      <c r="N158" s="33">
        <f>N159+N165</f>
        <v>1456.1</v>
      </c>
    </row>
    <row r="159" spans="1:14" s="152" customFormat="1" ht="18" x14ac:dyDescent="0.35">
      <c r="A159" s="18"/>
      <c r="B159" s="31" t="s">
        <v>364</v>
      </c>
      <c r="C159" s="32" t="s">
        <v>2</v>
      </c>
      <c r="D159" s="17" t="s">
        <v>106</v>
      </c>
      <c r="E159" s="17" t="s">
        <v>39</v>
      </c>
      <c r="F159" s="659"/>
      <c r="G159" s="660"/>
      <c r="H159" s="660"/>
      <c r="I159" s="661"/>
      <c r="J159" s="17"/>
      <c r="K159" s="33">
        <f t="shared" ref="K159:N163" si="25">K160</f>
        <v>504</v>
      </c>
      <c r="L159" s="33">
        <f t="shared" si="25"/>
        <v>0</v>
      </c>
      <c r="M159" s="33">
        <f t="shared" si="25"/>
        <v>504</v>
      </c>
      <c r="N159" s="33">
        <f t="shared" si="25"/>
        <v>504</v>
      </c>
    </row>
    <row r="160" spans="1:14" s="152" customFormat="1" ht="54" x14ac:dyDescent="0.35">
      <c r="A160" s="18"/>
      <c r="B160" s="38" t="s">
        <v>298</v>
      </c>
      <c r="C160" s="32" t="s">
        <v>2</v>
      </c>
      <c r="D160" s="17" t="s">
        <v>106</v>
      </c>
      <c r="E160" s="17" t="s">
        <v>39</v>
      </c>
      <c r="F160" s="659" t="s">
        <v>81</v>
      </c>
      <c r="G160" s="660" t="s">
        <v>44</v>
      </c>
      <c r="H160" s="660" t="s">
        <v>45</v>
      </c>
      <c r="I160" s="661" t="s">
        <v>46</v>
      </c>
      <c r="J160" s="17"/>
      <c r="K160" s="33">
        <f t="shared" si="25"/>
        <v>504</v>
      </c>
      <c r="L160" s="33">
        <f t="shared" si="25"/>
        <v>0</v>
      </c>
      <c r="M160" s="33">
        <f t="shared" si="25"/>
        <v>504</v>
      </c>
      <c r="N160" s="33">
        <f t="shared" si="25"/>
        <v>504</v>
      </c>
    </row>
    <row r="161" spans="1:14" s="152" customFormat="1" ht="36" x14ac:dyDescent="0.35">
      <c r="A161" s="18"/>
      <c r="B161" s="31" t="s">
        <v>345</v>
      </c>
      <c r="C161" s="32" t="s">
        <v>2</v>
      </c>
      <c r="D161" s="17" t="s">
        <v>106</v>
      </c>
      <c r="E161" s="17" t="s">
        <v>39</v>
      </c>
      <c r="F161" s="659" t="s">
        <v>81</v>
      </c>
      <c r="G161" s="660" t="s">
        <v>47</v>
      </c>
      <c r="H161" s="660" t="s">
        <v>45</v>
      </c>
      <c r="I161" s="661" t="s">
        <v>46</v>
      </c>
      <c r="J161" s="17"/>
      <c r="K161" s="33">
        <f t="shared" si="25"/>
        <v>504</v>
      </c>
      <c r="L161" s="33">
        <f t="shared" si="25"/>
        <v>0</v>
      </c>
      <c r="M161" s="33">
        <f t="shared" si="25"/>
        <v>504</v>
      </c>
      <c r="N161" s="33">
        <f t="shared" si="25"/>
        <v>504</v>
      </c>
    </row>
    <row r="162" spans="1:14" s="152" customFormat="1" ht="90" x14ac:dyDescent="0.35">
      <c r="A162" s="18"/>
      <c r="B162" s="34" t="s">
        <v>523</v>
      </c>
      <c r="C162" s="32" t="s">
        <v>2</v>
      </c>
      <c r="D162" s="17" t="s">
        <v>106</v>
      </c>
      <c r="E162" s="17" t="s">
        <v>39</v>
      </c>
      <c r="F162" s="659" t="s">
        <v>81</v>
      </c>
      <c r="G162" s="660" t="s">
        <v>47</v>
      </c>
      <c r="H162" s="660" t="s">
        <v>54</v>
      </c>
      <c r="I162" s="661" t="s">
        <v>46</v>
      </c>
      <c r="J162" s="17"/>
      <c r="K162" s="33">
        <f t="shared" si="25"/>
        <v>504</v>
      </c>
      <c r="L162" s="33">
        <f t="shared" si="25"/>
        <v>0</v>
      </c>
      <c r="M162" s="33">
        <f t="shared" si="25"/>
        <v>504</v>
      </c>
      <c r="N162" s="33">
        <f t="shared" si="25"/>
        <v>504</v>
      </c>
    </row>
    <row r="163" spans="1:14" s="152" customFormat="1" ht="75.75" customHeight="1" x14ac:dyDescent="0.35">
      <c r="A163" s="18"/>
      <c r="B163" s="34" t="s">
        <v>517</v>
      </c>
      <c r="C163" s="32" t="s">
        <v>2</v>
      </c>
      <c r="D163" s="17" t="s">
        <v>106</v>
      </c>
      <c r="E163" s="17" t="s">
        <v>39</v>
      </c>
      <c r="F163" s="659" t="s">
        <v>81</v>
      </c>
      <c r="G163" s="660" t="s">
        <v>47</v>
      </c>
      <c r="H163" s="660" t="s">
        <v>54</v>
      </c>
      <c r="I163" s="661" t="s">
        <v>365</v>
      </c>
      <c r="J163" s="17"/>
      <c r="K163" s="33">
        <f t="shared" si="25"/>
        <v>504</v>
      </c>
      <c r="L163" s="33">
        <f t="shared" si="25"/>
        <v>0</v>
      </c>
      <c r="M163" s="33">
        <f t="shared" si="25"/>
        <v>504</v>
      </c>
      <c r="N163" s="33">
        <f t="shared" si="25"/>
        <v>504</v>
      </c>
    </row>
    <row r="164" spans="1:14" s="152" customFormat="1" ht="36" x14ac:dyDescent="0.35">
      <c r="A164" s="18"/>
      <c r="B164" s="35" t="s">
        <v>122</v>
      </c>
      <c r="C164" s="32" t="s">
        <v>2</v>
      </c>
      <c r="D164" s="17" t="s">
        <v>106</v>
      </c>
      <c r="E164" s="17" t="s">
        <v>39</v>
      </c>
      <c r="F164" s="659" t="s">
        <v>81</v>
      </c>
      <c r="G164" s="660" t="s">
        <v>47</v>
      </c>
      <c r="H164" s="660" t="s">
        <v>54</v>
      </c>
      <c r="I164" s="661" t="s">
        <v>365</v>
      </c>
      <c r="J164" s="17" t="s">
        <v>123</v>
      </c>
      <c r="K164" s="33">
        <v>504</v>
      </c>
      <c r="L164" s="33">
        <f>M164-K164</f>
        <v>0</v>
      </c>
      <c r="M164" s="33">
        <v>504</v>
      </c>
      <c r="N164" s="33">
        <v>504</v>
      </c>
    </row>
    <row r="165" spans="1:14" s="152" customFormat="1" ht="36" x14ac:dyDescent="0.35">
      <c r="A165" s="18"/>
      <c r="B165" s="31" t="s">
        <v>124</v>
      </c>
      <c r="C165" s="32" t="s">
        <v>2</v>
      </c>
      <c r="D165" s="17" t="s">
        <v>106</v>
      </c>
      <c r="E165" s="17" t="s">
        <v>83</v>
      </c>
      <c r="F165" s="659"/>
      <c r="G165" s="660"/>
      <c r="H165" s="660"/>
      <c r="I165" s="661"/>
      <c r="J165" s="17"/>
      <c r="K165" s="33">
        <f t="shared" ref="K165:M168" si="26">K166</f>
        <v>952.1</v>
      </c>
      <c r="L165" s="33">
        <f t="shared" si="26"/>
        <v>0</v>
      </c>
      <c r="M165" s="33">
        <f t="shared" si="26"/>
        <v>952.1</v>
      </c>
      <c r="N165" s="33">
        <f t="shared" ref="N165:N168" si="27">N166</f>
        <v>952.1</v>
      </c>
    </row>
    <row r="166" spans="1:14" s="152" customFormat="1" ht="72" x14ac:dyDescent="0.35">
      <c r="A166" s="18"/>
      <c r="B166" s="31" t="s">
        <v>74</v>
      </c>
      <c r="C166" s="32" t="s">
        <v>2</v>
      </c>
      <c r="D166" s="17" t="s">
        <v>106</v>
      </c>
      <c r="E166" s="17" t="s">
        <v>83</v>
      </c>
      <c r="F166" s="659" t="s">
        <v>75</v>
      </c>
      <c r="G166" s="660" t="s">
        <v>44</v>
      </c>
      <c r="H166" s="660" t="s">
        <v>45</v>
      </c>
      <c r="I166" s="661" t="s">
        <v>46</v>
      </c>
      <c r="J166" s="17"/>
      <c r="K166" s="33">
        <f t="shared" si="26"/>
        <v>952.1</v>
      </c>
      <c r="L166" s="33">
        <f t="shared" si="26"/>
        <v>0</v>
      </c>
      <c r="M166" s="33">
        <f t="shared" si="26"/>
        <v>952.1</v>
      </c>
      <c r="N166" s="33">
        <f t="shared" si="27"/>
        <v>952.1</v>
      </c>
    </row>
    <row r="167" spans="1:14" s="152" customFormat="1" ht="36" x14ac:dyDescent="0.35">
      <c r="A167" s="18"/>
      <c r="B167" s="31" t="s">
        <v>345</v>
      </c>
      <c r="C167" s="32" t="s">
        <v>2</v>
      </c>
      <c r="D167" s="17" t="s">
        <v>106</v>
      </c>
      <c r="E167" s="17" t="s">
        <v>83</v>
      </c>
      <c r="F167" s="659" t="s">
        <v>75</v>
      </c>
      <c r="G167" s="660" t="s">
        <v>47</v>
      </c>
      <c r="H167" s="660" t="s">
        <v>45</v>
      </c>
      <c r="I167" s="661" t="s">
        <v>46</v>
      </c>
      <c r="J167" s="17"/>
      <c r="K167" s="33">
        <f t="shared" si="26"/>
        <v>952.1</v>
      </c>
      <c r="L167" s="33">
        <f t="shared" si="26"/>
        <v>0</v>
      </c>
      <c r="M167" s="33">
        <f t="shared" si="26"/>
        <v>952.1</v>
      </c>
      <c r="N167" s="33">
        <f t="shared" si="27"/>
        <v>952.1</v>
      </c>
    </row>
    <row r="168" spans="1:14" s="152" customFormat="1" ht="54" x14ac:dyDescent="0.35">
      <c r="A168" s="18"/>
      <c r="B168" s="34" t="s">
        <v>268</v>
      </c>
      <c r="C168" s="32" t="s">
        <v>2</v>
      </c>
      <c r="D168" s="17" t="s">
        <v>106</v>
      </c>
      <c r="E168" s="17" t="s">
        <v>83</v>
      </c>
      <c r="F168" s="659" t="s">
        <v>75</v>
      </c>
      <c r="G168" s="660" t="s">
        <v>47</v>
      </c>
      <c r="H168" s="660" t="s">
        <v>39</v>
      </c>
      <c r="I168" s="661" t="s">
        <v>46</v>
      </c>
      <c r="J168" s="17"/>
      <c r="K168" s="33">
        <f t="shared" si="26"/>
        <v>952.1</v>
      </c>
      <c r="L168" s="33">
        <f t="shared" si="26"/>
        <v>0</v>
      </c>
      <c r="M168" s="33">
        <f t="shared" si="26"/>
        <v>952.1</v>
      </c>
      <c r="N168" s="33">
        <f t="shared" si="27"/>
        <v>952.1</v>
      </c>
    </row>
    <row r="169" spans="1:14" s="152" customFormat="1" ht="54" x14ac:dyDescent="0.35">
      <c r="A169" s="18"/>
      <c r="B169" s="34" t="s">
        <v>76</v>
      </c>
      <c r="C169" s="32" t="s">
        <v>2</v>
      </c>
      <c r="D169" s="17" t="s">
        <v>106</v>
      </c>
      <c r="E169" s="17" t="s">
        <v>83</v>
      </c>
      <c r="F169" s="659" t="s">
        <v>75</v>
      </c>
      <c r="G169" s="660" t="s">
        <v>47</v>
      </c>
      <c r="H169" s="660" t="s">
        <v>39</v>
      </c>
      <c r="I169" s="661" t="s">
        <v>77</v>
      </c>
      <c r="J169" s="17"/>
      <c r="K169" s="33">
        <f>K170</f>
        <v>952.1</v>
      </c>
      <c r="L169" s="33">
        <f>L170</f>
        <v>0</v>
      </c>
      <c r="M169" s="33">
        <f>M170</f>
        <v>952.1</v>
      </c>
      <c r="N169" s="33">
        <f>N170</f>
        <v>952.1</v>
      </c>
    </row>
    <row r="170" spans="1:14" s="152" customFormat="1" ht="54" x14ac:dyDescent="0.35">
      <c r="A170" s="18"/>
      <c r="B170" s="35" t="s">
        <v>78</v>
      </c>
      <c r="C170" s="32" t="s">
        <v>2</v>
      </c>
      <c r="D170" s="17" t="s">
        <v>106</v>
      </c>
      <c r="E170" s="17" t="s">
        <v>83</v>
      </c>
      <c r="F170" s="659" t="s">
        <v>75</v>
      </c>
      <c r="G170" s="660" t="s">
        <v>47</v>
      </c>
      <c r="H170" s="660" t="s">
        <v>39</v>
      </c>
      <c r="I170" s="661" t="s">
        <v>77</v>
      </c>
      <c r="J170" s="17" t="s">
        <v>79</v>
      </c>
      <c r="K170" s="33">
        <v>952.1</v>
      </c>
      <c r="L170" s="33">
        <f>M170-K170</f>
        <v>0</v>
      </c>
      <c r="M170" s="33">
        <v>952.1</v>
      </c>
      <c r="N170" s="33">
        <v>952.1</v>
      </c>
    </row>
    <row r="171" spans="1:14" s="152" customFormat="1" ht="18" x14ac:dyDescent="0.35">
      <c r="A171" s="18"/>
      <c r="B171" s="35"/>
      <c r="C171" s="32"/>
      <c r="D171" s="17"/>
      <c r="E171" s="17"/>
      <c r="F171" s="659"/>
      <c r="G171" s="660"/>
      <c r="H171" s="660"/>
      <c r="I171" s="661"/>
      <c r="J171" s="17"/>
      <c r="K171" s="33"/>
      <c r="L171" s="33"/>
      <c r="M171" s="33"/>
      <c r="N171" s="33"/>
    </row>
    <row r="172" spans="1:14" ht="52.2" x14ac:dyDescent="0.3">
      <c r="A172" s="151">
        <v>2</v>
      </c>
      <c r="B172" s="25" t="s">
        <v>3</v>
      </c>
      <c r="C172" s="26" t="s">
        <v>305</v>
      </c>
      <c r="D172" s="27"/>
      <c r="E172" s="27"/>
      <c r="F172" s="28"/>
      <c r="G172" s="29"/>
      <c r="H172" s="29"/>
      <c r="I172" s="30"/>
      <c r="J172" s="27"/>
      <c r="K172" s="47">
        <f>K173+K191</f>
        <v>35633.800000000003</v>
      </c>
      <c r="L172" s="47">
        <f>L173+L191</f>
        <v>0</v>
      </c>
      <c r="M172" s="47">
        <f>M173+M191</f>
        <v>35633.800000000003</v>
      </c>
      <c r="N172" s="47">
        <f>N173+N191</f>
        <v>35626</v>
      </c>
    </row>
    <row r="173" spans="1:14" s="156" customFormat="1" ht="18" x14ac:dyDescent="0.35">
      <c r="A173" s="18"/>
      <c r="B173" s="31" t="s">
        <v>38</v>
      </c>
      <c r="C173" s="32" t="s">
        <v>305</v>
      </c>
      <c r="D173" s="17" t="s">
        <v>39</v>
      </c>
      <c r="E173" s="17"/>
      <c r="F173" s="659"/>
      <c r="G173" s="660"/>
      <c r="H173" s="660"/>
      <c r="I173" s="661"/>
      <c r="J173" s="17"/>
      <c r="K173" s="33">
        <f>K174+K182</f>
        <v>28633.8</v>
      </c>
      <c r="L173" s="33">
        <f>L174+L182</f>
        <v>0</v>
      </c>
      <c r="M173" s="33">
        <f>M174+M182</f>
        <v>28633.8</v>
      </c>
      <c r="N173" s="33">
        <f>N174+N182</f>
        <v>28626</v>
      </c>
    </row>
    <row r="174" spans="1:14" s="157" customFormat="1" ht="72" x14ac:dyDescent="0.35">
      <c r="A174" s="18"/>
      <c r="B174" s="31" t="s">
        <v>131</v>
      </c>
      <c r="C174" s="32" t="s">
        <v>305</v>
      </c>
      <c r="D174" s="17" t="s">
        <v>39</v>
      </c>
      <c r="E174" s="17" t="s">
        <v>83</v>
      </c>
      <c r="F174" s="659"/>
      <c r="G174" s="660"/>
      <c r="H174" s="660"/>
      <c r="I174" s="661"/>
      <c r="J174" s="17"/>
      <c r="K174" s="33">
        <f t="shared" ref="K174:N177" si="28">K175</f>
        <v>25791.5</v>
      </c>
      <c r="L174" s="33">
        <f t="shared" si="28"/>
        <v>0</v>
      </c>
      <c r="M174" s="33">
        <f t="shared" si="28"/>
        <v>25791.5</v>
      </c>
      <c r="N174" s="33">
        <f t="shared" si="28"/>
        <v>25792.2</v>
      </c>
    </row>
    <row r="175" spans="1:14" s="152" customFormat="1" ht="54.75" customHeight="1" x14ac:dyDescent="0.35">
      <c r="A175" s="18"/>
      <c r="B175" s="31" t="s">
        <v>225</v>
      </c>
      <c r="C175" s="32" t="s">
        <v>305</v>
      </c>
      <c r="D175" s="17" t="s">
        <v>39</v>
      </c>
      <c r="E175" s="17" t="s">
        <v>83</v>
      </c>
      <c r="F175" s="659" t="s">
        <v>226</v>
      </c>
      <c r="G175" s="660" t="s">
        <v>44</v>
      </c>
      <c r="H175" s="660" t="s">
        <v>45</v>
      </c>
      <c r="I175" s="661" t="s">
        <v>46</v>
      </c>
      <c r="J175" s="17"/>
      <c r="K175" s="33">
        <f t="shared" si="28"/>
        <v>25791.5</v>
      </c>
      <c r="L175" s="33">
        <f t="shared" si="28"/>
        <v>0</v>
      </c>
      <c r="M175" s="33">
        <f t="shared" si="28"/>
        <v>25791.5</v>
      </c>
      <c r="N175" s="33">
        <f t="shared" si="28"/>
        <v>25792.2</v>
      </c>
    </row>
    <row r="176" spans="1:14" s="152" customFormat="1" ht="36" x14ac:dyDescent="0.35">
      <c r="A176" s="18"/>
      <c r="B176" s="31" t="s">
        <v>345</v>
      </c>
      <c r="C176" s="32" t="s">
        <v>305</v>
      </c>
      <c r="D176" s="17" t="s">
        <v>39</v>
      </c>
      <c r="E176" s="17" t="s">
        <v>83</v>
      </c>
      <c r="F176" s="39" t="s">
        <v>226</v>
      </c>
      <c r="G176" s="40" t="s">
        <v>47</v>
      </c>
      <c r="H176" s="660" t="s">
        <v>45</v>
      </c>
      <c r="I176" s="661" t="s">
        <v>46</v>
      </c>
      <c r="J176" s="17"/>
      <c r="K176" s="33">
        <f>K177</f>
        <v>25791.5</v>
      </c>
      <c r="L176" s="33">
        <f>L177</f>
        <v>0</v>
      </c>
      <c r="M176" s="33">
        <f>M177</f>
        <v>25791.5</v>
      </c>
      <c r="N176" s="33">
        <f>N177</f>
        <v>25792.2</v>
      </c>
    </row>
    <row r="177" spans="1:14" s="152" customFormat="1" ht="54" x14ac:dyDescent="0.35">
      <c r="A177" s="18"/>
      <c r="B177" s="31" t="s">
        <v>306</v>
      </c>
      <c r="C177" s="32" t="s">
        <v>305</v>
      </c>
      <c r="D177" s="17" t="s">
        <v>39</v>
      </c>
      <c r="E177" s="17" t="s">
        <v>83</v>
      </c>
      <c r="F177" s="39" t="s">
        <v>226</v>
      </c>
      <c r="G177" s="40" t="s">
        <v>47</v>
      </c>
      <c r="H177" s="660" t="s">
        <v>39</v>
      </c>
      <c r="I177" s="661" t="s">
        <v>46</v>
      </c>
      <c r="J177" s="17"/>
      <c r="K177" s="33">
        <f t="shared" si="28"/>
        <v>25791.5</v>
      </c>
      <c r="L177" s="33">
        <f t="shared" si="28"/>
        <v>0</v>
      </c>
      <c r="M177" s="33">
        <f t="shared" si="28"/>
        <v>25791.5</v>
      </c>
      <c r="N177" s="33">
        <f t="shared" si="28"/>
        <v>25792.2</v>
      </c>
    </row>
    <row r="178" spans="1:14" s="152" customFormat="1" ht="36" x14ac:dyDescent="0.35">
      <c r="A178" s="18"/>
      <c r="B178" s="31" t="s">
        <v>49</v>
      </c>
      <c r="C178" s="32" t="s">
        <v>305</v>
      </c>
      <c r="D178" s="17" t="s">
        <v>39</v>
      </c>
      <c r="E178" s="17" t="s">
        <v>83</v>
      </c>
      <c r="F178" s="39" t="s">
        <v>226</v>
      </c>
      <c r="G178" s="40" t="s">
        <v>47</v>
      </c>
      <c r="H178" s="660" t="s">
        <v>39</v>
      </c>
      <c r="I178" s="661" t="s">
        <v>50</v>
      </c>
      <c r="J178" s="17"/>
      <c r="K178" s="33">
        <f>SUM(K179:K181)</f>
        <v>25791.5</v>
      </c>
      <c r="L178" s="33">
        <f>SUM(L179:L181)</f>
        <v>0</v>
      </c>
      <c r="M178" s="33">
        <f>SUM(M179:M181)</f>
        <v>25791.5</v>
      </c>
      <c r="N178" s="33">
        <f>SUM(N179:N181)</f>
        <v>25792.2</v>
      </c>
    </row>
    <row r="179" spans="1:14" s="152" customFormat="1" ht="108" x14ac:dyDescent="0.35">
      <c r="A179" s="18"/>
      <c r="B179" s="31" t="s">
        <v>51</v>
      </c>
      <c r="C179" s="32" t="s">
        <v>305</v>
      </c>
      <c r="D179" s="17" t="s">
        <v>39</v>
      </c>
      <c r="E179" s="17" t="s">
        <v>83</v>
      </c>
      <c r="F179" s="39" t="s">
        <v>226</v>
      </c>
      <c r="G179" s="40" t="s">
        <v>47</v>
      </c>
      <c r="H179" s="660" t="s">
        <v>39</v>
      </c>
      <c r="I179" s="661" t="s">
        <v>50</v>
      </c>
      <c r="J179" s="17" t="s">
        <v>52</v>
      </c>
      <c r="K179" s="33">
        <v>25067.7</v>
      </c>
      <c r="L179" s="33">
        <f>M179-K179</f>
        <v>0</v>
      </c>
      <c r="M179" s="33">
        <v>25067.7</v>
      </c>
      <c r="N179" s="33">
        <v>25067.7</v>
      </c>
    </row>
    <row r="180" spans="1:14" s="152" customFormat="1" ht="54" x14ac:dyDescent="0.35">
      <c r="A180" s="18"/>
      <c r="B180" s="31" t="s">
        <v>57</v>
      </c>
      <c r="C180" s="32" t="s">
        <v>305</v>
      </c>
      <c r="D180" s="17" t="s">
        <v>39</v>
      </c>
      <c r="E180" s="17" t="s">
        <v>83</v>
      </c>
      <c r="F180" s="39" t="s">
        <v>226</v>
      </c>
      <c r="G180" s="40" t="s">
        <v>47</v>
      </c>
      <c r="H180" s="660" t="s">
        <v>39</v>
      </c>
      <c r="I180" s="661" t="s">
        <v>50</v>
      </c>
      <c r="J180" s="17" t="s">
        <v>58</v>
      </c>
      <c r="K180" s="33">
        <v>719.1</v>
      </c>
      <c r="L180" s="33">
        <f>M180-K180</f>
        <v>0</v>
      </c>
      <c r="M180" s="33">
        <v>719.1</v>
      </c>
      <c r="N180" s="33">
        <v>719.9</v>
      </c>
    </row>
    <row r="181" spans="1:14" s="157" customFormat="1" ht="18" x14ac:dyDescent="0.35">
      <c r="A181" s="18"/>
      <c r="B181" s="31" t="s">
        <v>59</v>
      </c>
      <c r="C181" s="32" t="s">
        <v>305</v>
      </c>
      <c r="D181" s="17" t="s">
        <v>39</v>
      </c>
      <c r="E181" s="17" t="s">
        <v>83</v>
      </c>
      <c r="F181" s="39" t="s">
        <v>226</v>
      </c>
      <c r="G181" s="40" t="s">
        <v>47</v>
      </c>
      <c r="H181" s="660" t="s">
        <v>39</v>
      </c>
      <c r="I181" s="661" t="s">
        <v>50</v>
      </c>
      <c r="J181" s="17" t="s">
        <v>60</v>
      </c>
      <c r="K181" s="33">
        <v>4.7</v>
      </c>
      <c r="L181" s="33">
        <f>M181-K181</f>
        <v>0</v>
      </c>
      <c r="M181" s="33">
        <v>4.7</v>
      </c>
      <c r="N181" s="33">
        <v>4.5999999999999996</v>
      </c>
    </row>
    <row r="182" spans="1:14" s="157" customFormat="1" ht="18" x14ac:dyDescent="0.35">
      <c r="A182" s="18"/>
      <c r="B182" s="31" t="s">
        <v>72</v>
      </c>
      <c r="C182" s="32" t="s">
        <v>305</v>
      </c>
      <c r="D182" s="17" t="s">
        <v>39</v>
      </c>
      <c r="E182" s="17" t="s">
        <v>73</v>
      </c>
      <c r="F182" s="39"/>
      <c r="G182" s="40"/>
      <c r="H182" s="660"/>
      <c r="I182" s="661"/>
      <c r="J182" s="17"/>
      <c r="K182" s="33">
        <f t="shared" ref="K182:N183" si="29">K183</f>
        <v>2842.2999999999997</v>
      </c>
      <c r="L182" s="33">
        <f t="shared" si="29"/>
        <v>0</v>
      </c>
      <c r="M182" s="33">
        <f t="shared" si="29"/>
        <v>2842.2999999999997</v>
      </c>
      <c r="N182" s="33">
        <f t="shared" si="29"/>
        <v>2833.7999999999997</v>
      </c>
    </row>
    <row r="183" spans="1:14" s="157" customFormat="1" ht="54" x14ac:dyDescent="0.35">
      <c r="A183" s="18"/>
      <c r="B183" s="31" t="s">
        <v>225</v>
      </c>
      <c r="C183" s="32" t="s">
        <v>305</v>
      </c>
      <c r="D183" s="17" t="s">
        <v>39</v>
      </c>
      <c r="E183" s="17" t="s">
        <v>73</v>
      </c>
      <c r="F183" s="39" t="s">
        <v>226</v>
      </c>
      <c r="G183" s="40" t="s">
        <v>44</v>
      </c>
      <c r="H183" s="660" t="s">
        <v>45</v>
      </c>
      <c r="I183" s="661" t="s">
        <v>46</v>
      </c>
      <c r="J183" s="17"/>
      <c r="K183" s="33">
        <f t="shared" si="29"/>
        <v>2842.2999999999997</v>
      </c>
      <c r="L183" s="33">
        <f t="shared" si="29"/>
        <v>0</v>
      </c>
      <c r="M183" s="33">
        <f t="shared" si="29"/>
        <v>2842.2999999999997</v>
      </c>
      <c r="N183" s="33">
        <f t="shared" si="29"/>
        <v>2833.7999999999997</v>
      </c>
    </row>
    <row r="184" spans="1:14" s="157" customFormat="1" ht="36" x14ac:dyDescent="0.35">
      <c r="A184" s="18"/>
      <c r="B184" s="31" t="s">
        <v>345</v>
      </c>
      <c r="C184" s="32" t="s">
        <v>305</v>
      </c>
      <c r="D184" s="17" t="s">
        <v>39</v>
      </c>
      <c r="E184" s="17" t="s">
        <v>73</v>
      </c>
      <c r="F184" s="39" t="s">
        <v>226</v>
      </c>
      <c r="G184" s="40" t="s">
        <v>47</v>
      </c>
      <c r="H184" s="660" t="s">
        <v>45</v>
      </c>
      <c r="I184" s="661" t="s">
        <v>46</v>
      </c>
      <c r="J184" s="17"/>
      <c r="K184" s="33">
        <f>K185+K188</f>
        <v>2842.2999999999997</v>
      </c>
      <c r="L184" s="33">
        <f>L185+L188</f>
        <v>0</v>
      </c>
      <c r="M184" s="33">
        <f>M185+M188</f>
        <v>2842.2999999999997</v>
      </c>
      <c r="N184" s="33">
        <f>N185+N188</f>
        <v>2833.7999999999997</v>
      </c>
    </row>
    <row r="185" spans="1:14" s="157" customFormat="1" ht="36" x14ac:dyDescent="0.35">
      <c r="A185" s="18"/>
      <c r="B185" s="31" t="s">
        <v>360</v>
      </c>
      <c r="C185" s="32" t="s">
        <v>305</v>
      </c>
      <c r="D185" s="17" t="s">
        <v>39</v>
      </c>
      <c r="E185" s="17" t="s">
        <v>73</v>
      </c>
      <c r="F185" s="39" t="s">
        <v>226</v>
      </c>
      <c r="G185" s="40" t="s">
        <v>47</v>
      </c>
      <c r="H185" s="660" t="s">
        <v>65</v>
      </c>
      <c r="I185" s="661" t="s">
        <v>46</v>
      </c>
      <c r="J185" s="17"/>
      <c r="K185" s="33">
        <f t="shared" ref="K185:N186" si="30">K186</f>
        <v>2825.1</v>
      </c>
      <c r="L185" s="33">
        <f t="shared" si="30"/>
        <v>0</v>
      </c>
      <c r="M185" s="33">
        <f t="shared" si="30"/>
        <v>2825.1</v>
      </c>
      <c r="N185" s="33">
        <f t="shared" si="30"/>
        <v>2816.6</v>
      </c>
    </row>
    <row r="186" spans="1:14" s="157" customFormat="1" ht="57" customHeight="1" x14ac:dyDescent="0.35">
      <c r="A186" s="18"/>
      <c r="B186" s="31" t="s">
        <v>361</v>
      </c>
      <c r="C186" s="32" t="s">
        <v>305</v>
      </c>
      <c r="D186" s="17" t="s">
        <v>39</v>
      </c>
      <c r="E186" s="17" t="s">
        <v>73</v>
      </c>
      <c r="F186" s="39" t="s">
        <v>226</v>
      </c>
      <c r="G186" s="40" t="s">
        <v>47</v>
      </c>
      <c r="H186" s="660" t="s">
        <v>65</v>
      </c>
      <c r="I186" s="661" t="s">
        <v>107</v>
      </c>
      <c r="J186" s="17"/>
      <c r="K186" s="33">
        <f t="shared" si="30"/>
        <v>2825.1</v>
      </c>
      <c r="L186" s="33">
        <f t="shared" si="30"/>
        <v>0</v>
      </c>
      <c r="M186" s="33">
        <f t="shared" si="30"/>
        <v>2825.1</v>
      </c>
      <c r="N186" s="33">
        <f t="shared" si="30"/>
        <v>2816.6</v>
      </c>
    </row>
    <row r="187" spans="1:14" s="157" customFormat="1" ht="54" x14ac:dyDescent="0.35">
      <c r="A187" s="18"/>
      <c r="B187" s="31" t="s">
        <v>57</v>
      </c>
      <c r="C187" s="32" t="s">
        <v>305</v>
      </c>
      <c r="D187" s="17" t="s">
        <v>39</v>
      </c>
      <c r="E187" s="17" t="s">
        <v>73</v>
      </c>
      <c r="F187" s="39" t="s">
        <v>226</v>
      </c>
      <c r="G187" s="40" t="s">
        <v>47</v>
      </c>
      <c r="H187" s="660" t="s">
        <v>65</v>
      </c>
      <c r="I187" s="661" t="s">
        <v>107</v>
      </c>
      <c r="J187" s="17" t="s">
        <v>58</v>
      </c>
      <c r="K187" s="33">
        <v>2825.1</v>
      </c>
      <c r="L187" s="33">
        <f>M187-K187</f>
        <v>0</v>
      </c>
      <c r="M187" s="33">
        <v>2825.1</v>
      </c>
      <c r="N187" s="33">
        <v>2816.6</v>
      </c>
    </row>
    <row r="188" spans="1:14" s="157" customFormat="1" ht="36" x14ac:dyDescent="0.35">
      <c r="A188" s="18"/>
      <c r="B188" s="31" t="s">
        <v>544</v>
      </c>
      <c r="C188" s="32" t="s">
        <v>305</v>
      </c>
      <c r="D188" s="17" t="s">
        <v>39</v>
      </c>
      <c r="E188" s="17" t="s">
        <v>73</v>
      </c>
      <c r="F188" s="39" t="s">
        <v>226</v>
      </c>
      <c r="G188" s="40" t="s">
        <v>47</v>
      </c>
      <c r="H188" s="660" t="s">
        <v>67</v>
      </c>
      <c r="I188" s="661" t="s">
        <v>46</v>
      </c>
      <c r="J188" s="17"/>
      <c r="K188" s="33">
        <f t="shared" ref="K188:N189" si="31">K189</f>
        <v>17.2</v>
      </c>
      <c r="L188" s="33">
        <f t="shared" si="31"/>
        <v>0</v>
      </c>
      <c r="M188" s="33">
        <f t="shared" si="31"/>
        <v>17.2</v>
      </c>
      <c r="N188" s="33">
        <f t="shared" si="31"/>
        <v>17.2</v>
      </c>
    </row>
    <row r="189" spans="1:14" s="157" customFormat="1" ht="18" x14ac:dyDescent="0.35">
      <c r="A189" s="18"/>
      <c r="B189" s="31" t="s">
        <v>542</v>
      </c>
      <c r="C189" s="32" t="s">
        <v>305</v>
      </c>
      <c r="D189" s="17" t="s">
        <v>39</v>
      </c>
      <c r="E189" s="17" t="s">
        <v>73</v>
      </c>
      <c r="F189" s="39" t="s">
        <v>226</v>
      </c>
      <c r="G189" s="40" t="s">
        <v>47</v>
      </c>
      <c r="H189" s="660" t="s">
        <v>67</v>
      </c>
      <c r="I189" s="661" t="s">
        <v>543</v>
      </c>
      <c r="J189" s="17"/>
      <c r="K189" s="33">
        <f t="shared" si="31"/>
        <v>17.2</v>
      </c>
      <c r="L189" s="33">
        <f t="shared" si="31"/>
        <v>0</v>
      </c>
      <c r="M189" s="33">
        <f t="shared" si="31"/>
        <v>17.2</v>
      </c>
      <c r="N189" s="33">
        <f t="shared" si="31"/>
        <v>17.2</v>
      </c>
    </row>
    <row r="190" spans="1:14" s="157" customFormat="1" ht="54" x14ac:dyDescent="0.35">
      <c r="A190" s="18"/>
      <c r="B190" s="31" t="s">
        <v>57</v>
      </c>
      <c r="C190" s="32" t="s">
        <v>305</v>
      </c>
      <c r="D190" s="17" t="s">
        <v>39</v>
      </c>
      <c r="E190" s="17" t="s">
        <v>73</v>
      </c>
      <c r="F190" s="39" t="s">
        <v>226</v>
      </c>
      <c r="G190" s="40" t="s">
        <v>47</v>
      </c>
      <c r="H190" s="660" t="s">
        <v>67</v>
      </c>
      <c r="I190" s="661" t="s">
        <v>543</v>
      </c>
      <c r="J190" s="17" t="s">
        <v>58</v>
      </c>
      <c r="K190" s="33">
        <v>17.2</v>
      </c>
      <c r="L190" s="33">
        <f>M190-K190</f>
        <v>0</v>
      </c>
      <c r="M190" s="33">
        <v>17.2</v>
      </c>
      <c r="N190" s="33">
        <v>17.2</v>
      </c>
    </row>
    <row r="191" spans="1:14" s="157" customFormat="1" ht="54" x14ac:dyDescent="0.35">
      <c r="A191" s="18"/>
      <c r="B191" s="31" t="s">
        <v>202</v>
      </c>
      <c r="C191" s="32" t="s">
        <v>305</v>
      </c>
      <c r="D191" s="17" t="s">
        <v>90</v>
      </c>
      <c r="E191" s="17"/>
      <c r="F191" s="39"/>
      <c r="G191" s="40"/>
      <c r="H191" s="660"/>
      <c r="I191" s="661"/>
      <c r="J191" s="17"/>
      <c r="K191" s="33">
        <f t="shared" ref="K191:N194" si="32">K192</f>
        <v>7000</v>
      </c>
      <c r="L191" s="33">
        <f t="shared" si="32"/>
        <v>0</v>
      </c>
      <c r="M191" s="33">
        <f t="shared" si="32"/>
        <v>7000</v>
      </c>
      <c r="N191" s="33">
        <f t="shared" si="32"/>
        <v>7000</v>
      </c>
    </row>
    <row r="192" spans="1:14" s="157" customFormat="1" ht="54" x14ac:dyDescent="0.35">
      <c r="A192" s="18"/>
      <c r="B192" s="37" t="s">
        <v>203</v>
      </c>
      <c r="C192" s="32" t="s">
        <v>305</v>
      </c>
      <c r="D192" s="17" t="s">
        <v>90</v>
      </c>
      <c r="E192" s="17" t="s">
        <v>39</v>
      </c>
      <c r="F192" s="39"/>
      <c r="G192" s="40"/>
      <c r="H192" s="660"/>
      <c r="I192" s="661"/>
      <c r="J192" s="17"/>
      <c r="K192" s="33">
        <f t="shared" si="32"/>
        <v>7000</v>
      </c>
      <c r="L192" s="33">
        <f t="shared" si="32"/>
        <v>0</v>
      </c>
      <c r="M192" s="33">
        <f t="shared" si="32"/>
        <v>7000</v>
      </c>
      <c r="N192" s="33">
        <f t="shared" si="32"/>
        <v>7000</v>
      </c>
    </row>
    <row r="193" spans="1:14" s="157" customFormat="1" ht="54" x14ac:dyDescent="0.35">
      <c r="A193" s="18"/>
      <c r="B193" s="31" t="s">
        <v>225</v>
      </c>
      <c r="C193" s="32" t="s">
        <v>305</v>
      </c>
      <c r="D193" s="17" t="s">
        <v>90</v>
      </c>
      <c r="E193" s="17" t="s">
        <v>39</v>
      </c>
      <c r="F193" s="39" t="s">
        <v>226</v>
      </c>
      <c r="G193" s="40" t="s">
        <v>44</v>
      </c>
      <c r="H193" s="660" t="s">
        <v>45</v>
      </c>
      <c r="I193" s="661" t="s">
        <v>46</v>
      </c>
      <c r="J193" s="17"/>
      <c r="K193" s="33">
        <f t="shared" si="32"/>
        <v>7000</v>
      </c>
      <c r="L193" s="33">
        <f t="shared" si="32"/>
        <v>0</v>
      </c>
      <c r="M193" s="33">
        <f t="shared" si="32"/>
        <v>7000</v>
      </c>
      <c r="N193" s="33">
        <f t="shared" si="32"/>
        <v>7000</v>
      </c>
    </row>
    <row r="194" spans="1:14" s="157" customFormat="1" ht="36" x14ac:dyDescent="0.35">
      <c r="A194" s="18"/>
      <c r="B194" s="31" t="s">
        <v>345</v>
      </c>
      <c r="C194" s="32" t="s">
        <v>305</v>
      </c>
      <c r="D194" s="17" t="s">
        <v>90</v>
      </c>
      <c r="E194" s="17" t="s">
        <v>39</v>
      </c>
      <c r="F194" s="39" t="s">
        <v>226</v>
      </c>
      <c r="G194" s="40" t="s">
        <v>47</v>
      </c>
      <c r="H194" s="660" t="s">
        <v>45</v>
      </c>
      <c r="I194" s="661" t="s">
        <v>46</v>
      </c>
      <c r="J194" s="17"/>
      <c r="K194" s="33">
        <f t="shared" si="32"/>
        <v>7000</v>
      </c>
      <c r="L194" s="33">
        <f t="shared" si="32"/>
        <v>0</v>
      </c>
      <c r="M194" s="33">
        <f t="shared" si="32"/>
        <v>7000</v>
      </c>
      <c r="N194" s="33">
        <f t="shared" si="32"/>
        <v>7000</v>
      </c>
    </row>
    <row r="195" spans="1:14" s="157" customFormat="1" ht="36" x14ac:dyDescent="0.35">
      <c r="A195" s="18"/>
      <c r="B195" s="31" t="s">
        <v>307</v>
      </c>
      <c r="C195" s="32" t="s">
        <v>305</v>
      </c>
      <c r="D195" s="17" t="s">
        <v>90</v>
      </c>
      <c r="E195" s="17" t="s">
        <v>39</v>
      </c>
      <c r="F195" s="39" t="s">
        <v>226</v>
      </c>
      <c r="G195" s="40" t="s">
        <v>47</v>
      </c>
      <c r="H195" s="660" t="s">
        <v>41</v>
      </c>
      <c r="I195" s="661" t="s">
        <v>46</v>
      </c>
      <c r="J195" s="17"/>
      <c r="K195" s="33">
        <f>K196</f>
        <v>7000</v>
      </c>
      <c r="L195" s="33">
        <f>L196</f>
        <v>0</v>
      </c>
      <c r="M195" s="33">
        <f>M196</f>
        <v>7000</v>
      </c>
      <c r="N195" s="33">
        <f>N196</f>
        <v>7000</v>
      </c>
    </row>
    <row r="196" spans="1:14" s="157" customFormat="1" ht="36" x14ac:dyDescent="0.35">
      <c r="A196" s="18"/>
      <c r="B196" s="31" t="s">
        <v>260</v>
      </c>
      <c r="C196" s="32" t="s">
        <v>305</v>
      </c>
      <c r="D196" s="17" t="s">
        <v>90</v>
      </c>
      <c r="E196" s="17" t="s">
        <v>39</v>
      </c>
      <c r="F196" s="39" t="s">
        <v>226</v>
      </c>
      <c r="G196" s="40" t="s">
        <v>47</v>
      </c>
      <c r="H196" s="660" t="s">
        <v>41</v>
      </c>
      <c r="I196" s="661" t="s">
        <v>468</v>
      </c>
      <c r="J196" s="17"/>
      <c r="K196" s="33">
        <f t="shared" ref="K196:N196" si="33">K197</f>
        <v>7000</v>
      </c>
      <c r="L196" s="33">
        <f t="shared" si="33"/>
        <v>0</v>
      </c>
      <c r="M196" s="33">
        <f t="shared" si="33"/>
        <v>7000</v>
      </c>
      <c r="N196" s="33">
        <f t="shared" si="33"/>
        <v>7000</v>
      </c>
    </row>
    <row r="197" spans="1:14" s="157" customFormat="1" ht="18" x14ac:dyDescent="0.35">
      <c r="A197" s="18"/>
      <c r="B197" s="31" t="s">
        <v>125</v>
      </c>
      <c r="C197" s="32" t="s">
        <v>305</v>
      </c>
      <c r="D197" s="17" t="s">
        <v>90</v>
      </c>
      <c r="E197" s="17" t="s">
        <v>39</v>
      </c>
      <c r="F197" s="39" t="s">
        <v>226</v>
      </c>
      <c r="G197" s="40" t="s">
        <v>47</v>
      </c>
      <c r="H197" s="660" t="s">
        <v>41</v>
      </c>
      <c r="I197" s="661" t="s">
        <v>468</v>
      </c>
      <c r="J197" s="17" t="s">
        <v>126</v>
      </c>
      <c r="K197" s="33">
        <v>7000</v>
      </c>
      <c r="L197" s="33">
        <f>M197-K197</f>
        <v>0</v>
      </c>
      <c r="M197" s="33">
        <v>7000</v>
      </c>
      <c r="N197" s="33">
        <v>7000</v>
      </c>
    </row>
    <row r="198" spans="1:14" s="157" customFormat="1" ht="18" x14ac:dyDescent="0.35">
      <c r="A198" s="18"/>
      <c r="B198" s="31"/>
      <c r="C198" s="32"/>
      <c r="D198" s="17"/>
      <c r="E198" s="17"/>
      <c r="F198" s="39"/>
      <c r="G198" s="40"/>
      <c r="H198" s="660"/>
      <c r="I198" s="661"/>
      <c r="J198" s="17"/>
      <c r="K198" s="33"/>
      <c r="L198" s="33"/>
      <c r="M198" s="33"/>
      <c r="N198" s="33"/>
    </row>
    <row r="199" spans="1:14" s="158" customFormat="1" ht="52.2" x14ac:dyDescent="0.3">
      <c r="A199" s="151">
        <v>3</v>
      </c>
      <c r="B199" s="25" t="s">
        <v>37</v>
      </c>
      <c r="C199" s="26" t="s">
        <v>130</v>
      </c>
      <c r="D199" s="27"/>
      <c r="E199" s="27"/>
      <c r="F199" s="28"/>
      <c r="G199" s="29"/>
      <c r="H199" s="29"/>
      <c r="I199" s="30"/>
      <c r="J199" s="27"/>
      <c r="K199" s="47">
        <f t="shared" ref="K199:N202" si="34">K200</f>
        <v>4387.9000000000005</v>
      </c>
      <c r="L199" s="47">
        <f t="shared" si="34"/>
        <v>0</v>
      </c>
      <c r="M199" s="47">
        <f t="shared" si="34"/>
        <v>4387.9000000000005</v>
      </c>
      <c r="N199" s="47">
        <f t="shared" si="34"/>
        <v>4388</v>
      </c>
    </row>
    <row r="200" spans="1:14" s="158" customFormat="1" ht="18" x14ac:dyDescent="0.35">
      <c r="A200" s="18"/>
      <c r="B200" s="31" t="s">
        <v>38</v>
      </c>
      <c r="C200" s="32" t="s">
        <v>130</v>
      </c>
      <c r="D200" s="17" t="s">
        <v>39</v>
      </c>
      <c r="E200" s="17"/>
      <c r="F200" s="659"/>
      <c r="G200" s="660"/>
      <c r="H200" s="660"/>
      <c r="I200" s="661"/>
      <c r="J200" s="17"/>
      <c r="K200" s="33">
        <f t="shared" si="34"/>
        <v>4387.9000000000005</v>
      </c>
      <c r="L200" s="33">
        <f t="shared" si="34"/>
        <v>0</v>
      </c>
      <c r="M200" s="33">
        <f t="shared" si="34"/>
        <v>4387.9000000000005</v>
      </c>
      <c r="N200" s="33">
        <f t="shared" si="34"/>
        <v>4388</v>
      </c>
    </row>
    <row r="201" spans="1:14" s="158" customFormat="1" ht="72" x14ac:dyDescent="0.35">
      <c r="A201" s="18"/>
      <c r="B201" s="31" t="s">
        <v>131</v>
      </c>
      <c r="C201" s="32" t="s">
        <v>130</v>
      </c>
      <c r="D201" s="17" t="s">
        <v>39</v>
      </c>
      <c r="E201" s="17" t="s">
        <v>83</v>
      </c>
      <c r="F201" s="659"/>
      <c r="G201" s="660"/>
      <c r="H201" s="660"/>
      <c r="I201" s="661"/>
      <c r="J201" s="17"/>
      <c r="K201" s="33">
        <f t="shared" si="34"/>
        <v>4387.9000000000005</v>
      </c>
      <c r="L201" s="33">
        <f t="shared" si="34"/>
        <v>0</v>
      </c>
      <c r="M201" s="33">
        <f t="shared" si="34"/>
        <v>4387.9000000000005</v>
      </c>
      <c r="N201" s="33">
        <f t="shared" si="34"/>
        <v>4388</v>
      </c>
    </row>
    <row r="202" spans="1:14" s="158" customFormat="1" ht="36" x14ac:dyDescent="0.35">
      <c r="A202" s="18"/>
      <c r="B202" s="34" t="s">
        <v>132</v>
      </c>
      <c r="C202" s="32" t="s">
        <v>130</v>
      </c>
      <c r="D202" s="17" t="s">
        <v>39</v>
      </c>
      <c r="E202" s="17" t="s">
        <v>83</v>
      </c>
      <c r="F202" s="659" t="s">
        <v>133</v>
      </c>
      <c r="G202" s="660" t="s">
        <v>44</v>
      </c>
      <c r="H202" s="660" t="s">
        <v>45</v>
      </c>
      <c r="I202" s="661" t="s">
        <v>46</v>
      </c>
      <c r="J202" s="17"/>
      <c r="K202" s="33">
        <f t="shared" si="34"/>
        <v>4387.9000000000005</v>
      </c>
      <c r="L202" s="33">
        <f t="shared" si="34"/>
        <v>0</v>
      </c>
      <c r="M202" s="33">
        <f t="shared" si="34"/>
        <v>4387.9000000000005</v>
      </c>
      <c r="N202" s="33">
        <f t="shared" si="34"/>
        <v>4388</v>
      </c>
    </row>
    <row r="203" spans="1:14" s="158" customFormat="1" ht="34.5" customHeight="1" x14ac:dyDescent="0.35">
      <c r="A203" s="18"/>
      <c r="B203" s="34" t="s">
        <v>134</v>
      </c>
      <c r="C203" s="32" t="s">
        <v>130</v>
      </c>
      <c r="D203" s="17" t="s">
        <v>39</v>
      </c>
      <c r="E203" s="17" t="s">
        <v>83</v>
      </c>
      <c r="F203" s="659" t="s">
        <v>133</v>
      </c>
      <c r="G203" s="660" t="s">
        <v>47</v>
      </c>
      <c r="H203" s="660" t="s">
        <v>45</v>
      </c>
      <c r="I203" s="661" t="s">
        <v>46</v>
      </c>
      <c r="J203" s="17"/>
      <c r="K203" s="33">
        <f>K204</f>
        <v>4387.9000000000005</v>
      </c>
      <c r="L203" s="33">
        <f>L204</f>
        <v>0</v>
      </c>
      <c r="M203" s="33">
        <f>M204</f>
        <v>4387.9000000000005</v>
      </c>
      <c r="N203" s="33">
        <f>N204</f>
        <v>4388</v>
      </c>
    </row>
    <row r="204" spans="1:14" s="158" customFormat="1" ht="36" x14ac:dyDescent="0.35">
      <c r="A204" s="18"/>
      <c r="B204" s="31" t="s">
        <v>49</v>
      </c>
      <c r="C204" s="32" t="s">
        <v>130</v>
      </c>
      <c r="D204" s="17" t="s">
        <v>39</v>
      </c>
      <c r="E204" s="17" t="s">
        <v>83</v>
      </c>
      <c r="F204" s="659" t="s">
        <v>133</v>
      </c>
      <c r="G204" s="660" t="s">
        <v>47</v>
      </c>
      <c r="H204" s="660" t="s">
        <v>45</v>
      </c>
      <c r="I204" s="661" t="s">
        <v>50</v>
      </c>
      <c r="J204" s="17"/>
      <c r="K204" s="33">
        <f>K205+K206+K207</f>
        <v>4387.9000000000005</v>
      </c>
      <c r="L204" s="33">
        <f>L205+L206+L207</f>
        <v>0</v>
      </c>
      <c r="M204" s="33">
        <f>M205+M206+M207</f>
        <v>4387.9000000000005</v>
      </c>
      <c r="N204" s="33">
        <f>N205+N206+N207</f>
        <v>4388</v>
      </c>
    </row>
    <row r="205" spans="1:14" s="158" customFormat="1" ht="108" x14ac:dyDescent="0.35">
      <c r="A205" s="18"/>
      <c r="B205" s="31" t="s">
        <v>51</v>
      </c>
      <c r="C205" s="32" t="s">
        <v>130</v>
      </c>
      <c r="D205" s="17" t="s">
        <v>39</v>
      </c>
      <c r="E205" s="17" t="s">
        <v>83</v>
      </c>
      <c r="F205" s="659" t="s">
        <v>133</v>
      </c>
      <c r="G205" s="660" t="s">
        <v>47</v>
      </c>
      <c r="H205" s="660" t="s">
        <v>45</v>
      </c>
      <c r="I205" s="661" t="s">
        <v>50</v>
      </c>
      <c r="J205" s="17" t="s">
        <v>52</v>
      </c>
      <c r="K205" s="33">
        <v>4137.8</v>
      </c>
      <c r="L205" s="33">
        <f>M205-K205</f>
        <v>0</v>
      </c>
      <c r="M205" s="33">
        <v>4137.8</v>
      </c>
      <c r="N205" s="33">
        <v>4137.8</v>
      </c>
    </row>
    <row r="206" spans="1:14" s="158" customFormat="1" ht="54" x14ac:dyDescent="0.35">
      <c r="A206" s="18"/>
      <c r="B206" s="31" t="s">
        <v>57</v>
      </c>
      <c r="C206" s="32" t="s">
        <v>130</v>
      </c>
      <c r="D206" s="17" t="s">
        <v>39</v>
      </c>
      <c r="E206" s="17" t="s">
        <v>83</v>
      </c>
      <c r="F206" s="659" t="s">
        <v>133</v>
      </c>
      <c r="G206" s="660" t="s">
        <v>47</v>
      </c>
      <c r="H206" s="660" t="s">
        <v>45</v>
      </c>
      <c r="I206" s="661" t="s">
        <v>50</v>
      </c>
      <c r="J206" s="17" t="s">
        <v>58</v>
      </c>
      <c r="K206" s="33">
        <v>240.1</v>
      </c>
      <c r="L206" s="33">
        <f>M206-K206</f>
        <v>0</v>
      </c>
      <c r="M206" s="33">
        <v>240.1</v>
      </c>
      <c r="N206" s="33">
        <v>240.2</v>
      </c>
    </row>
    <row r="207" spans="1:14" s="158" customFormat="1" ht="18" x14ac:dyDescent="0.35">
      <c r="A207" s="18"/>
      <c r="B207" s="31" t="s">
        <v>59</v>
      </c>
      <c r="C207" s="32" t="s">
        <v>130</v>
      </c>
      <c r="D207" s="17" t="s">
        <v>39</v>
      </c>
      <c r="E207" s="17" t="s">
        <v>83</v>
      </c>
      <c r="F207" s="659" t="s">
        <v>133</v>
      </c>
      <c r="G207" s="660" t="s">
        <v>47</v>
      </c>
      <c r="H207" s="660" t="s">
        <v>45</v>
      </c>
      <c r="I207" s="661" t="s">
        <v>50</v>
      </c>
      <c r="J207" s="17" t="s">
        <v>60</v>
      </c>
      <c r="K207" s="33">
        <v>10</v>
      </c>
      <c r="L207" s="33">
        <f>M207-K207</f>
        <v>0</v>
      </c>
      <c r="M207" s="33">
        <v>10</v>
      </c>
      <c r="N207" s="33">
        <v>10</v>
      </c>
    </row>
    <row r="208" spans="1:14" s="158" customFormat="1" ht="18" x14ac:dyDescent="0.35">
      <c r="A208" s="18"/>
      <c r="B208" s="31"/>
      <c r="C208" s="32"/>
      <c r="D208" s="17"/>
      <c r="E208" s="17"/>
      <c r="F208" s="659"/>
      <c r="G208" s="660"/>
      <c r="H208" s="660"/>
      <c r="I208" s="661"/>
      <c r="J208" s="17"/>
      <c r="K208" s="33"/>
      <c r="L208" s="33"/>
      <c r="M208" s="33"/>
      <c r="N208" s="33"/>
    </row>
    <row r="209" spans="1:14" s="167" customFormat="1" ht="52.2" x14ac:dyDescent="0.3">
      <c r="A209" s="159">
        <v>4</v>
      </c>
      <c r="B209" s="160" t="s">
        <v>6</v>
      </c>
      <c r="C209" s="161" t="s">
        <v>478</v>
      </c>
      <c r="D209" s="162"/>
      <c r="E209" s="162"/>
      <c r="F209" s="163"/>
      <c r="G209" s="164"/>
      <c r="H209" s="164"/>
      <c r="I209" s="165"/>
      <c r="J209" s="162"/>
      <c r="K209" s="166">
        <f>K210+K254+K241+K263</f>
        <v>159049.59999999998</v>
      </c>
      <c r="L209" s="166">
        <f>L210+L254+L241+L263</f>
        <v>0</v>
      </c>
      <c r="M209" s="166">
        <f>M210+M254+M241+M263</f>
        <v>159049.59999999998</v>
      </c>
      <c r="N209" s="166">
        <f>N210+N254+N241+N263</f>
        <v>74774.899999999994</v>
      </c>
    </row>
    <row r="210" spans="1:14" s="173" customFormat="1" ht="18" x14ac:dyDescent="0.35">
      <c r="A210" s="168"/>
      <c r="B210" s="140" t="s">
        <v>38</v>
      </c>
      <c r="C210" s="169" t="s">
        <v>478</v>
      </c>
      <c r="D210" s="170" t="s">
        <v>39</v>
      </c>
      <c r="E210" s="118"/>
      <c r="F210" s="171"/>
      <c r="G210" s="116"/>
      <c r="H210" s="116"/>
      <c r="I210" s="117"/>
      <c r="J210" s="118"/>
      <c r="K210" s="172">
        <f>K211</f>
        <v>25771.399999999998</v>
      </c>
      <c r="L210" s="172">
        <f>L211</f>
        <v>0</v>
      </c>
      <c r="M210" s="172">
        <f>M211</f>
        <v>25771.399999999998</v>
      </c>
      <c r="N210" s="172">
        <f>N211</f>
        <v>27507</v>
      </c>
    </row>
    <row r="211" spans="1:14" s="167" customFormat="1" ht="18" x14ac:dyDescent="0.35">
      <c r="A211" s="168"/>
      <c r="B211" s="140" t="s">
        <v>72</v>
      </c>
      <c r="C211" s="169" t="s">
        <v>478</v>
      </c>
      <c r="D211" s="170" t="s">
        <v>39</v>
      </c>
      <c r="E211" s="170" t="s">
        <v>73</v>
      </c>
      <c r="F211" s="171"/>
      <c r="G211" s="116"/>
      <c r="H211" s="116"/>
      <c r="I211" s="117"/>
      <c r="J211" s="118"/>
      <c r="K211" s="172">
        <f>K212+K235</f>
        <v>25771.399999999998</v>
      </c>
      <c r="L211" s="172">
        <f>L212+L235</f>
        <v>0</v>
      </c>
      <c r="M211" s="172">
        <f>M212+M235</f>
        <v>25771.399999999998</v>
      </c>
      <c r="N211" s="172">
        <f>N212+N235</f>
        <v>27507</v>
      </c>
    </row>
    <row r="212" spans="1:14" s="173" customFormat="1" ht="54" customHeight="1" x14ac:dyDescent="0.35">
      <c r="A212" s="168"/>
      <c r="B212" s="140" t="s">
        <v>227</v>
      </c>
      <c r="C212" s="169" t="s">
        <v>478</v>
      </c>
      <c r="D212" s="170" t="s">
        <v>39</v>
      </c>
      <c r="E212" s="170" t="s">
        <v>73</v>
      </c>
      <c r="F212" s="128" t="s">
        <v>228</v>
      </c>
      <c r="G212" s="116" t="s">
        <v>44</v>
      </c>
      <c r="H212" s="116" t="s">
        <v>45</v>
      </c>
      <c r="I212" s="117" t="s">
        <v>46</v>
      </c>
      <c r="J212" s="118"/>
      <c r="K212" s="172">
        <f>K213+K217</f>
        <v>20561.899999999998</v>
      </c>
      <c r="L212" s="172">
        <f>L213+L217</f>
        <v>0</v>
      </c>
      <c r="M212" s="172">
        <f>M213+M217</f>
        <v>20561.899999999998</v>
      </c>
      <c r="N212" s="172">
        <f>N213+N217</f>
        <v>22293.899999999998</v>
      </c>
    </row>
    <row r="213" spans="1:14" s="173" customFormat="1" ht="41.25" customHeight="1" x14ac:dyDescent="0.35">
      <c r="A213" s="168"/>
      <c r="B213" s="140" t="s">
        <v>229</v>
      </c>
      <c r="C213" s="169" t="s">
        <v>478</v>
      </c>
      <c r="D213" s="170" t="s">
        <v>39</v>
      </c>
      <c r="E213" s="170" t="s">
        <v>73</v>
      </c>
      <c r="F213" s="174" t="s">
        <v>228</v>
      </c>
      <c r="G213" s="175" t="s">
        <v>47</v>
      </c>
      <c r="H213" s="175" t="s">
        <v>45</v>
      </c>
      <c r="I213" s="176" t="s">
        <v>46</v>
      </c>
      <c r="J213" s="118"/>
      <c r="K213" s="172">
        <f t="shared" ref="K213:N215" si="35">K214</f>
        <v>0</v>
      </c>
      <c r="L213" s="172">
        <f t="shared" si="35"/>
        <v>0</v>
      </c>
      <c r="M213" s="172">
        <f t="shared" si="35"/>
        <v>0</v>
      </c>
      <c r="N213" s="172">
        <f t="shared" si="35"/>
        <v>606.9</v>
      </c>
    </row>
    <row r="214" spans="1:14" s="167" customFormat="1" ht="36" x14ac:dyDescent="0.35">
      <c r="A214" s="168"/>
      <c r="B214" s="135" t="s">
        <v>344</v>
      </c>
      <c r="C214" s="169" t="s">
        <v>478</v>
      </c>
      <c r="D214" s="170" t="s">
        <v>39</v>
      </c>
      <c r="E214" s="170" t="s">
        <v>73</v>
      </c>
      <c r="F214" s="115" t="s">
        <v>228</v>
      </c>
      <c r="G214" s="116" t="s">
        <v>47</v>
      </c>
      <c r="H214" s="116" t="s">
        <v>41</v>
      </c>
      <c r="I214" s="117" t="s">
        <v>46</v>
      </c>
      <c r="J214" s="118"/>
      <c r="K214" s="172">
        <f>K215</f>
        <v>0</v>
      </c>
      <c r="L214" s="172">
        <f>L215</f>
        <v>0</v>
      </c>
      <c r="M214" s="172">
        <f>M215</f>
        <v>0</v>
      </c>
      <c r="N214" s="172">
        <f>N215</f>
        <v>606.9</v>
      </c>
    </row>
    <row r="215" spans="1:14" s="167" customFormat="1" ht="36" x14ac:dyDescent="0.35">
      <c r="A215" s="168"/>
      <c r="B215" s="135" t="s">
        <v>343</v>
      </c>
      <c r="C215" s="169" t="s">
        <v>478</v>
      </c>
      <c r="D215" s="170" t="s">
        <v>39</v>
      </c>
      <c r="E215" s="170" t="s">
        <v>73</v>
      </c>
      <c r="F215" s="115" t="s">
        <v>228</v>
      </c>
      <c r="G215" s="116" t="s">
        <v>47</v>
      </c>
      <c r="H215" s="116" t="s">
        <v>41</v>
      </c>
      <c r="I215" s="117" t="s">
        <v>342</v>
      </c>
      <c r="J215" s="118"/>
      <c r="K215" s="172">
        <f t="shared" si="35"/>
        <v>0</v>
      </c>
      <c r="L215" s="172">
        <f t="shared" si="35"/>
        <v>0</v>
      </c>
      <c r="M215" s="172">
        <f t="shared" si="35"/>
        <v>0</v>
      </c>
      <c r="N215" s="172">
        <f t="shared" si="35"/>
        <v>606.9</v>
      </c>
    </row>
    <row r="216" spans="1:14" s="167" customFormat="1" ht="54" x14ac:dyDescent="0.35">
      <c r="A216" s="168"/>
      <c r="B216" s="135" t="s">
        <v>57</v>
      </c>
      <c r="C216" s="169" t="s">
        <v>478</v>
      </c>
      <c r="D216" s="170" t="s">
        <v>39</v>
      </c>
      <c r="E216" s="170" t="s">
        <v>73</v>
      </c>
      <c r="F216" s="115" t="s">
        <v>228</v>
      </c>
      <c r="G216" s="116" t="s">
        <v>47</v>
      </c>
      <c r="H216" s="116" t="s">
        <v>41</v>
      </c>
      <c r="I216" s="117" t="s">
        <v>342</v>
      </c>
      <c r="J216" s="118" t="s">
        <v>58</v>
      </c>
      <c r="K216" s="172">
        <v>0</v>
      </c>
      <c r="L216" s="33">
        <f>M216-K216</f>
        <v>0</v>
      </c>
      <c r="M216" s="172">
        <v>0</v>
      </c>
      <c r="N216" s="172">
        <v>606.9</v>
      </c>
    </row>
    <row r="217" spans="1:14" s="167" customFormat="1" ht="36" x14ac:dyDescent="0.35">
      <c r="A217" s="168"/>
      <c r="B217" s="140" t="s">
        <v>231</v>
      </c>
      <c r="C217" s="169" t="s">
        <v>478</v>
      </c>
      <c r="D217" s="170" t="s">
        <v>39</v>
      </c>
      <c r="E217" s="170" t="s">
        <v>73</v>
      </c>
      <c r="F217" s="128" t="s">
        <v>228</v>
      </c>
      <c r="G217" s="116" t="s">
        <v>91</v>
      </c>
      <c r="H217" s="116" t="s">
        <v>45</v>
      </c>
      <c r="I217" s="117" t="s">
        <v>46</v>
      </c>
      <c r="J217" s="118"/>
      <c r="K217" s="172">
        <f>K218+K229+K232</f>
        <v>20561.899999999998</v>
      </c>
      <c r="L217" s="172">
        <f>L218+L229+L232</f>
        <v>0</v>
      </c>
      <c r="M217" s="172">
        <f>M218+M229+M232</f>
        <v>20561.899999999998</v>
      </c>
      <c r="N217" s="172">
        <f>N218+N229+N232</f>
        <v>21686.999999999996</v>
      </c>
    </row>
    <row r="218" spans="1:14" s="173" customFormat="1" ht="77.25" customHeight="1" x14ac:dyDescent="0.35">
      <c r="A218" s="168"/>
      <c r="B218" s="140" t="s">
        <v>304</v>
      </c>
      <c r="C218" s="169" t="s">
        <v>478</v>
      </c>
      <c r="D218" s="170" t="s">
        <v>39</v>
      </c>
      <c r="E218" s="170" t="s">
        <v>73</v>
      </c>
      <c r="F218" s="128" t="s">
        <v>228</v>
      </c>
      <c r="G218" s="116" t="s">
        <v>91</v>
      </c>
      <c r="H218" s="116" t="s">
        <v>39</v>
      </c>
      <c r="I218" s="117" t="s">
        <v>46</v>
      </c>
      <c r="J218" s="118"/>
      <c r="K218" s="172">
        <f>K219+K223+K227</f>
        <v>20547.099999999999</v>
      </c>
      <c r="L218" s="172">
        <f>L219+L223+L227</f>
        <v>0</v>
      </c>
      <c r="M218" s="172">
        <f>M219+M223+M227</f>
        <v>20547.099999999999</v>
      </c>
      <c r="N218" s="172">
        <f>N219+N223+N227</f>
        <v>20994.6</v>
      </c>
    </row>
    <row r="219" spans="1:14" s="167" customFormat="1" ht="36" x14ac:dyDescent="0.35">
      <c r="A219" s="168"/>
      <c r="B219" s="140" t="s">
        <v>49</v>
      </c>
      <c r="C219" s="169" t="s">
        <v>478</v>
      </c>
      <c r="D219" s="170" t="s">
        <v>39</v>
      </c>
      <c r="E219" s="170" t="s">
        <v>73</v>
      </c>
      <c r="F219" s="177" t="s">
        <v>228</v>
      </c>
      <c r="G219" s="175" t="s">
        <v>91</v>
      </c>
      <c r="H219" s="175" t="s">
        <v>39</v>
      </c>
      <c r="I219" s="176" t="s">
        <v>50</v>
      </c>
      <c r="J219" s="118"/>
      <c r="K219" s="172">
        <f>K220+K221+K222</f>
        <v>13047</v>
      </c>
      <c r="L219" s="172">
        <f>L220+L221+L222</f>
        <v>0</v>
      </c>
      <c r="M219" s="172">
        <f>M220+M221+M222</f>
        <v>13047</v>
      </c>
      <c r="N219" s="172">
        <f>N220+N221+N222</f>
        <v>13269.7</v>
      </c>
    </row>
    <row r="220" spans="1:14" s="173" customFormat="1" ht="108" x14ac:dyDescent="0.35">
      <c r="A220" s="168"/>
      <c r="B220" s="31" t="s">
        <v>51</v>
      </c>
      <c r="C220" s="169" t="s">
        <v>478</v>
      </c>
      <c r="D220" s="170" t="s">
        <v>39</v>
      </c>
      <c r="E220" s="170" t="s">
        <v>73</v>
      </c>
      <c r="F220" s="128" t="s">
        <v>228</v>
      </c>
      <c r="G220" s="116" t="s">
        <v>91</v>
      </c>
      <c r="H220" s="116" t="s">
        <v>39</v>
      </c>
      <c r="I220" s="117" t="s">
        <v>50</v>
      </c>
      <c r="J220" s="118" t="s">
        <v>52</v>
      </c>
      <c r="K220" s="172">
        <v>12941.5</v>
      </c>
      <c r="L220" s="33">
        <f>M220-K220</f>
        <v>0</v>
      </c>
      <c r="M220" s="172">
        <v>12941.5</v>
      </c>
      <c r="N220" s="172">
        <v>12941.5</v>
      </c>
    </row>
    <row r="221" spans="1:14" s="173" customFormat="1" ht="54" x14ac:dyDescent="0.35">
      <c r="A221" s="168"/>
      <c r="B221" s="135" t="s">
        <v>57</v>
      </c>
      <c r="C221" s="169" t="s">
        <v>478</v>
      </c>
      <c r="D221" s="170" t="s">
        <v>39</v>
      </c>
      <c r="E221" s="170" t="s">
        <v>73</v>
      </c>
      <c r="F221" s="128" t="s">
        <v>228</v>
      </c>
      <c r="G221" s="116" t="s">
        <v>91</v>
      </c>
      <c r="H221" s="116" t="s">
        <v>39</v>
      </c>
      <c r="I221" s="117" t="s">
        <v>50</v>
      </c>
      <c r="J221" s="118" t="s">
        <v>58</v>
      </c>
      <c r="K221" s="172">
        <v>104.3</v>
      </c>
      <c r="L221" s="33">
        <f>M221-K221</f>
        <v>0</v>
      </c>
      <c r="M221" s="172">
        <v>104.3</v>
      </c>
      <c r="N221" s="172">
        <v>327</v>
      </c>
    </row>
    <row r="222" spans="1:14" s="173" customFormat="1" ht="18" x14ac:dyDescent="0.35">
      <c r="A222" s="168"/>
      <c r="B222" s="140" t="s">
        <v>59</v>
      </c>
      <c r="C222" s="169" t="s">
        <v>478</v>
      </c>
      <c r="D222" s="170" t="s">
        <v>39</v>
      </c>
      <c r="E222" s="170" t="s">
        <v>73</v>
      </c>
      <c r="F222" s="128" t="s">
        <v>228</v>
      </c>
      <c r="G222" s="116" t="s">
        <v>91</v>
      </c>
      <c r="H222" s="116" t="s">
        <v>39</v>
      </c>
      <c r="I222" s="117" t="s">
        <v>50</v>
      </c>
      <c r="J222" s="118" t="s">
        <v>60</v>
      </c>
      <c r="K222" s="172">
        <v>1.2</v>
      </c>
      <c r="L222" s="33">
        <f>M222-K222</f>
        <v>0</v>
      </c>
      <c r="M222" s="172">
        <v>1.2</v>
      </c>
      <c r="N222" s="172">
        <v>1.2</v>
      </c>
    </row>
    <row r="223" spans="1:14" s="173" customFormat="1" ht="40.5" customHeight="1" x14ac:dyDescent="0.35">
      <c r="A223" s="168"/>
      <c r="B223" s="112" t="s">
        <v>540</v>
      </c>
      <c r="C223" s="169" t="s">
        <v>478</v>
      </c>
      <c r="D223" s="170" t="s">
        <v>39</v>
      </c>
      <c r="E223" s="170" t="s">
        <v>73</v>
      </c>
      <c r="F223" s="128" t="s">
        <v>228</v>
      </c>
      <c r="G223" s="116" t="s">
        <v>91</v>
      </c>
      <c r="H223" s="116" t="s">
        <v>39</v>
      </c>
      <c r="I223" s="117" t="s">
        <v>93</v>
      </c>
      <c r="J223" s="118"/>
      <c r="K223" s="172">
        <f>K224+K225+K226</f>
        <v>7431.0999999999995</v>
      </c>
      <c r="L223" s="172">
        <f>L224+L225+L226</f>
        <v>0</v>
      </c>
      <c r="M223" s="172">
        <f>M224+M225+M226</f>
        <v>7431.0999999999995</v>
      </c>
      <c r="N223" s="172">
        <f>N224+N225+N226</f>
        <v>7655.9</v>
      </c>
    </row>
    <row r="224" spans="1:14" s="173" customFormat="1" ht="108" x14ac:dyDescent="0.35">
      <c r="A224" s="168"/>
      <c r="B224" s="31" t="s">
        <v>51</v>
      </c>
      <c r="C224" s="169" t="s">
        <v>478</v>
      </c>
      <c r="D224" s="170" t="s">
        <v>39</v>
      </c>
      <c r="E224" s="170" t="s">
        <v>73</v>
      </c>
      <c r="F224" s="128" t="s">
        <v>228</v>
      </c>
      <c r="G224" s="116" t="s">
        <v>91</v>
      </c>
      <c r="H224" s="116" t="s">
        <v>39</v>
      </c>
      <c r="I224" s="117" t="s">
        <v>93</v>
      </c>
      <c r="J224" s="118" t="s">
        <v>52</v>
      </c>
      <c r="K224" s="172">
        <f>7298.3+14.4</f>
        <v>7312.7</v>
      </c>
      <c r="L224" s="33">
        <f>M224-K224</f>
        <v>0</v>
      </c>
      <c r="M224" s="172">
        <f>7298.3+14.4</f>
        <v>7312.7</v>
      </c>
      <c r="N224" s="172">
        <f>7298.3+14.4</f>
        <v>7312.7</v>
      </c>
    </row>
    <row r="225" spans="1:14" s="173" customFormat="1" ht="54" x14ac:dyDescent="0.35">
      <c r="A225" s="168"/>
      <c r="B225" s="135" t="s">
        <v>57</v>
      </c>
      <c r="C225" s="169" t="s">
        <v>478</v>
      </c>
      <c r="D225" s="170" t="s">
        <v>39</v>
      </c>
      <c r="E225" s="170" t="s">
        <v>73</v>
      </c>
      <c r="F225" s="177" t="s">
        <v>228</v>
      </c>
      <c r="G225" s="175" t="s">
        <v>91</v>
      </c>
      <c r="H225" s="175" t="s">
        <v>39</v>
      </c>
      <c r="I225" s="176" t="s">
        <v>93</v>
      </c>
      <c r="J225" s="118" t="s">
        <v>58</v>
      </c>
      <c r="K225" s="172">
        <f>98.9</f>
        <v>98.9</v>
      </c>
      <c r="L225" s="33">
        <f>M225-K225</f>
        <v>0</v>
      </c>
      <c r="M225" s="172">
        <f>98.9</f>
        <v>98.9</v>
      </c>
      <c r="N225" s="172">
        <f>338.9-14.4</f>
        <v>324.5</v>
      </c>
    </row>
    <row r="226" spans="1:14" s="173" customFormat="1" ht="18" x14ac:dyDescent="0.35">
      <c r="A226" s="168"/>
      <c r="B226" s="140" t="s">
        <v>59</v>
      </c>
      <c r="C226" s="169" t="s">
        <v>478</v>
      </c>
      <c r="D226" s="170" t="s">
        <v>39</v>
      </c>
      <c r="E226" s="170" t="s">
        <v>73</v>
      </c>
      <c r="F226" s="128" t="s">
        <v>228</v>
      </c>
      <c r="G226" s="116" t="s">
        <v>91</v>
      </c>
      <c r="H226" s="116" t="s">
        <v>39</v>
      </c>
      <c r="I226" s="117" t="s">
        <v>93</v>
      </c>
      <c r="J226" s="118" t="s">
        <v>60</v>
      </c>
      <c r="K226" s="172">
        <v>19.5</v>
      </c>
      <c r="L226" s="33">
        <f>M226-K226</f>
        <v>0</v>
      </c>
      <c r="M226" s="172">
        <v>19.5</v>
      </c>
      <c r="N226" s="172">
        <v>18.7</v>
      </c>
    </row>
    <row r="227" spans="1:14" s="173" customFormat="1" ht="54" x14ac:dyDescent="0.35">
      <c r="A227" s="168"/>
      <c r="B227" s="135" t="s">
        <v>363</v>
      </c>
      <c r="C227" s="169" t="s">
        <v>478</v>
      </c>
      <c r="D227" s="170" t="s">
        <v>39</v>
      </c>
      <c r="E227" s="170" t="s">
        <v>73</v>
      </c>
      <c r="F227" s="128" t="s">
        <v>228</v>
      </c>
      <c r="G227" s="116" t="s">
        <v>91</v>
      </c>
      <c r="H227" s="116" t="s">
        <v>39</v>
      </c>
      <c r="I227" s="117" t="s">
        <v>362</v>
      </c>
      <c r="J227" s="118"/>
      <c r="K227" s="172">
        <f>K228</f>
        <v>69</v>
      </c>
      <c r="L227" s="172">
        <f>L228</f>
        <v>0</v>
      </c>
      <c r="M227" s="172">
        <f>M228</f>
        <v>69</v>
      </c>
      <c r="N227" s="172">
        <f>N228</f>
        <v>69</v>
      </c>
    </row>
    <row r="228" spans="1:14" s="173" customFormat="1" ht="54" x14ac:dyDescent="0.35">
      <c r="A228" s="168"/>
      <c r="B228" s="135" t="s">
        <v>57</v>
      </c>
      <c r="C228" s="169" t="s">
        <v>478</v>
      </c>
      <c r="D228" s="170" t="s">
        <v>39</v>
      </c>
      <c r="E228" s="170" t="s">
        <v>73</v>
      </c>
      <c r="F228" s="128" t="s">
        <v>228</v>
      </c>
      <c r="G228" s="116" t="s">
        <v>91</v>
      </c>
      <c r="H228" s="116" t="s">
        <v>39</v>
      </c>
      <c r="I228" s="208" t="s">
        <v>362</v>
      </c>
      <c r="J228" s="118" t="s">
        <v>58</v>
      </c>
      <c r="K228" s="172">
        <v>69</v>
      </c>
      <c r="L228" s="33">
        <f>M228-K228</f>
        <v>0</v>
      </c>
      <c r="M228" s="172">
        <v>69</v>
      </c>
      <c r="N228" s="172">
        <v>69</v>
      </c>
    </row>
    <row r="229" spans="1:14" s="173" customFormat="1" ht="36" x14ac:dyDescent="0.35">
      <c r="A229" s="168"/>
      <c r="B229" s="210" t="s">
        <v>360</v>
      </c>
      <c r="C229" s="211" t="s">
        <v>478</v>
      </c>
      <c r="D229" s="212" t="s">
        <v>39</v>
      </c>
      <c r="E229" s="212" t="s">
        <v>73</v>
      </c>
      <c r="F229" s="128" t="s">
        <v>228</v>
      </c>
      <c r="G229" s="129" t="s">
        <v>91</v>
      </c>
      <c r="H229" s="129" t="s">
        <v>41</v>
      </c>
      <c r="I229" s="130" t="s">
        <v>46</v>
      </c>
      <c r="J229" s="131"/>
      <c r="K229" s="172">
        <f t="shared" ref="K229:N230" si="36">K230</f>
        <v>0</v>
      </c>
      <c r="L229" s="172">
        <f t="shared" si="36"/>
        <v>0</v>
      </c>
      <c r="M229" s="172">
        <f t="shared" si="36"/>
        <v>0</v>
      </c>
      <c r="N229" s="172">
        <f t="shared" si="36"/>
        <v>677.6</v>
      </c>
    </row>
    <row r="230" spans="1:14" s="173" customFormat="1" ht="58.5" customHeight="1" x14ac:dyDescent="0.35">
      <c r="A230" s="168"/>
      <c r="B230" s="217" t="s">
        <v>361</v>
      </c>
      <c r="C230" s="169" t="s">
        <v>478</v>
      </c>
      <c r="D230" s="170" t="s">
        <v>39</v>
      </c>
      <c r="E230" s="170" t="s">
        <v>73</v>
      </c>
      <c r="F230" s="179" t="s">
        <v>228</v>
      </c>
      <c r="G230" s="129" t="s">
        <v>91</v>
      </c>
      <c r="H230" s="129" t="s">
        <v>41</v>
      </c>
      <c r="I230" s="130" t="s">
        <v>107</v>
      </c>
      <c r="J230" s="132"/>
      <c r="K230" s="172">
        <f t="shared" si="36"/>
        <v>0</v>
      </c>
      <c r="L230" s="172">
        <f t="shared" si="36"/>
        <v>0</v>
      </c>
      <c r="M230" s="172">
        <f t="shared" si="36"/>
        <v>0</v>
      </c>
      <c r="N230" s="172">
        <f t="shared" si="36"/>
        <v>677.6</v>
      </c>
    </row>
    <row r="231" spans="1:14" s="173" customFormat="1" ht="54" x14ac:dyDescent="0.35">
      <c r="A231" s="168"/>
      <c r="B231" s="219" t="s">
        <v>57</v>
      </c>
      <c r="C231" s="169" t="s">
        <v>478</v>
      </c>
      <c r="D231" s="170" t="s">
        <v>39</v>
      </c>
      <c r="E231" s="170" t="s">
        <v>73</v>
      </c>
      <c r="F231" s="179" t="s">
        <v>228</v>
      </c>
      <c r="G231" s="134" t="s">
        <v>91</v>
      </c>
      <c r="H231" s="134" t="s">
        <v>41</v>
      </c>
      <c r="I231" s="220" t="s">
        <v>107</v>
      </c>
      <c r="J231" s="221" t="s">
        <v>58</v>
      </c>
      <c r="K231" s="172">
        <v>0</v>
      </c>
      <c r="L231" s="33">
        <f>M231-K231</f>
        <v>0</v>
      </c>
      <c r="M231" s="172">
        <v>0</v>
      </c>
      <c r="N231" s="172">
        <v>677.6</v>
      </c>
    </row>
    <row r="232" spans="1:14" s="173" customFormat="1" ht="36" x14ac:dyDescent="0.35">
      <c r="A232" s="168"/>
      <c r="B232" s="222" t="s">
        <v>385</v>
      </c>
      <c r="C232" s="169" t="s">
        <v>478</v>
      </c>
      <c r="D232" s="170" t="s">
        <v>39</v>
      </c>
      <c r="E232" s="170" t="s">
        <v>73</v>
      </c>
      <c r="F232" s="179" t="s">
        <v>228</v>
      </c>
      <c r="G232" s="129" t="s">
        <v>91</v>
      </c>
      <c r="H232" s="129" t="s">
        <v>65</v>
      </c>
      <c r="I232" s="130" t="s">
        <v>46</v>
      </c>
      <c r="J232" s="132"/>
      <c r="K232" s="172">
        <f t="shared" ref="K232:N233" si="37">K233</f>
        <v>14.8</v>
      </c>
      <c r="L232" s="172">
        <f t="shared" si="37"/>
        <v>0</v>
      </c>
      <c r="M232" s="172">
        <f t="shared" si="37"/>
        <v>14.8</v>
      </c>
      <c r="N232" s="172">
        <f t="shared" si="37"/>
        <v>14.8</v>
      </c>
    </row>
    <row r="233" spans="1:14" s="173" customFormat="1" ht="36" x14ac:dyDescent="0.35">
      <c r="A233" s="168"/>
      <c r="B233" s="222" t="s">
        <v>343</v>
      </c>
      <c r="C233" s="169" t="s">
        <v>478</v>
      </c>
      <c r="D233" s="170" t="s">
        <v>39</v>
      </c>
      <c r="E233" s="170" t="s">
        <v>73</v>
      </c>
      <c r="F233" s="133" t="s">
        <v>228</v>
      </c>
      <c r="G233" s="134" t="s">
        <v>91</v>
      </c>
      <c r="H233" s="134" t="s">
        <v>65</v>
      </c>
      <c r="I233" s="220" t="s">
        <v>342</v>
      </c>
      <c r="J233" s="132"/>
      <c r="K233" s="172">
        <f t="shared" si="37"/>
        <v>14.8</v>
      </c>
      <c r="L233" s="172">
        <f t="shared" si="37"/>
        <v>0</v>
      </c>
      <c r="M233" s="172">
        <f t="shared" si="37"/>
        <v>14.8</v>
      </c>
      <c r="N233" s="172">
        <f t="shared" si="37"/>
        <v>14.8</v>
      </c>
    </row>
    <row r="234" spans="1:14" s="173" customFormat="1" ht="18" x14ac:dyDescent="0.35">
      <c r="A234" s="168"/>
      <c r="B234" s="140" t="s">
        <v>59</v>
      </c>
      <c r="C234" s="224" t="s">
        <v>478</v>
      </c>
      <c r="D234" s="170" t="s">
        <v>39</v>
      </c>
      <c r="E234" s="170" t="s">
        <v>73</v>
      </c>
      <c r="F234" s="128" t="s">
        <v>228</v>
      </c>
      <c r="G234" s="129" t="s">
        <v>91</v>
      </c>
      <c r="H234" s="129" t="s">
        <v>65</v>
      </c>
      <c r="I234" s="130" t="s">
        <v>342</v>
      </c>
      <c r="J234" s="132" t="s">
        <v>60</v>
      </c>
      <c r="K234" s="172">
        <v>14.8</v>
      </c>
      <c r="L234" s="33">
        <f>M234-K234</f>
        <v>0</v>
      </c>
      <c r="M234" s="172">
        <v>14.8</v>
      </c>
      <c r="N234" s="172">
        <v>14.8</v>
      </c>
    </row>
    <row r="235" spans="1:14" s="173" customFormat="1" ht="56.25" customHeight="1" x14ac:dyDescent="0.35">
      <c r="A235" s="168"/>
      <c r="B235" s="178" t="s">
        <v>42</v>
      </c>
      <c r="C235" s="169" t="s">
        <v>478</v>
      </c>
      <c r="D235" s="170" t="s">
        <v>39</v>
      </c>
      <c r="E235" s="170" t="s">
        <v>73</v>
      </c>
      <c r="F235" s="179" t="s">
        <v>43</v>
      </c>
      <c r="G235" s="116" t="s">
        <v>44</v>
      </c>
      <c r="H235" s="116" t="s">
        <v>45</v>
      </c>
      <c r="I235" s="117" t="s">
        <v>46</v>
      </c>
      <c r="J235" s="118"/>
      <c r="K235" s="172">
        <f t="shared" ref="K235:N237" si="38">K236</f>
        <v>5209.5</v>
      </c>
      <c r="L235" s="172">
        <f t="shared" si="38"/>
        <v>0</v>
      </c>
      <c r="M235" s="172">
        <f t="shared" si="38"/>
        <v>5209.5</v>
      </c>
      <c r="N235" s="172">
        <f t="shared" si="38"/>
        <v>5213.1000000000004</v>
      </c>
    </row>
    <row r="236" spans="1:14" s="173" customFormat="1" ht="36" x14ac:dyDescent="0.35">
      <c r="A236" s="168"/>
      <c r="B236" s="135" t="s">
        <v>345</v>
      </c>
      <c r="C236" s="169" t="s">
        <v>478</v>
      </c>
      <c r="D236" s="170" t="s">
        <v>39</v>
      </c>
      <c r="E236" s="170" t="s">
        <v>73</v>
      </c>
      <c r="F236" s="128" t="s">
        <v>43</v>
      </c>
      <c r="G236" s="116" t="s">
        <v>47</v>
      </c>
      <c r="H236" s="116" t="s">
        <v>45</v>
      </c>
      <c r="I236" s="117" t="s">
        <v>46</v>
      </c>
      <c r="J236" s="118"/>
      <c r="K236" s="172">
        <f t="shared" si="38"/>
        <v>5209.5</v>
      </c>
      <c r="L236" s="172">
        <f t="shared" si="38"/>
        <v>0</v>
      </c>
      <c r="M236" s="172">
        <f t="shared" si="38"/>
        <v>5209.5</v>
      </c>
      <c r="N236" s="172">
        <f t="shared" si="38"/>
        <v>5213.1000000000004</v>
      </c>
    </row>
    <row r="237" spans="1:14" s="173" customFormat="1" ht="72" x14ac:dyDescent="0.35">
      <c r="A237" s="168"/>
      <c r="B237" s="140" t="s">
        <v>302</v>
      </c>
      <c r="C237" s="169" t="s">
        <v>478</v>
      </c>
      <c r="D237" s="170" t="s">
        <v>39</v>
      </c>
      <c r="E237" s="170" t="s">
        <v>73</v>
      </c>
      <c r="F237" s="128" t="s">
        <v>43</v>
      </c>
      <c r="G237" s="116" t="s">
        <v>47</v>
      </c>
      <c r="H237" s="116" t="s">
        <v>83</v>
      </c>
      <c r="I237" s="117" t="s">
        <v>46</v>
      </c>
      <c r="J237" s="118"/>
      <c r="K237" s="172">
        <f t="shared" si="38"/>
        <v>5209.5</v>
      </c>
      <c r="L237" s="172">
        <f t="shared" si="38"/>
        <v>0</v>
      </c>
      <c r="M237" s="172">
        <f t="shared" si="38"/>
        <v>5209.5</v>
      </c>
      <c r="N237" s="172">
        <f t="shared" si="38"/>
        <v>5213.1000000000004</v>
      </c>
    </row>
    <row r="238" spans="1:14" s="173" customFormat="1" ht="42.75" customHeight="1" x14ac:dyDescent="0.35">
      <c r="A238" s="168"/>
      <c r="B238" s="112" t="s">
        <v>540</v>
      </c>
      <c r="C238" s="169" t="s">
        <v>478</v>
      </c>
      <c r="D238" s="170" t="s">
        <v>39</v>
      </c>
      <c r="E238" s="170" t="s">
        <v>73</v>
      </c>
      <c r="F238" s="128" t="s">
        <v>43</v>
      </c>
      <c r="G238" s="116" t="s">
        <v>47</v>
      </c>
      <c r="H238" s="116" t="s">
        <v>83</v>
      </c>
      <c r="I238" s="117" t="s">
        <v>93</v>
      </c>
      <c r="J238" s="118"/>
      <c r="K238" s="172">
        <f>K239+K240</f>
        <v>5209.5</v>
      </c>
      <c r="L238" s="172">
        <f>L239+L240</f>
        <v>0</v>
      </c>
      <c r="M238" s="172">
        <f>M239+M240</f>
        <v>5209.5</v>
      </c>
      <c r="N238" s="172">
        <f>N239+N240</f>
        <v>5213.1000000000004</v>
      </c>
    </row>
    <row r="239" spans="1:14" s="173" customFormat="1" ht="108" x14ac:dyDescent="0.35">
      <c r="A239" s="168"/>
      <c r="B239" s="31" t="s">
        <v>51</v>
      </c>
      <c r="C239" s="169" t="s">
        <v>478</v>
      </c>
      <c r="D239" s="170" t="s">
        <v>39</v>
      </c>
      <c r="E239" s="170" t="s">
        <v>73</v>
      </c>
      <c r="F239" s="128" t="s">
        <v>43</v>
      </c>
      <c r="G239" s="116" t="s">
        <v>47</v>
      </c>
      <c r="H239" s="116" t="s">
        <v>83</v>
      </c>
      <c r="I239" s="117" t="s">
        <v>93</v>
      </c>
      <c r="J239" s="118" t="s">
        <v>52</v>
      </c>
      <c r="K239" s="172">
        <v>4729.8</v>
      </c>
      <c r="L239" s="33">
        <f>M239-K239</f>
        <v>0</v>
      </c>
      <c r="M239" s="172">
        <v>4729.8</v>
      </c>
      <c r="N239" s="172">
        <v>4729.8</v>
      </c>
    </row>
    <row r="240" spans="1:14" s="173" customFormat="1" ht="54" x14ac:dyDescent="0.35">
      <c r="A240" s="168"/>
      <c r="B240" s="135" t="s">
        <v>57</v>
      </c>
      <c r="C240" s="169" t="s">
        <v>478</v>
      </c>
      <c r="D240" s="170" t="s">
        <v>39</v>
      </c>
      <c r="E240" s="170" t="s">
        <v>73</v>
      </c>
      <c r="F240" s="128" t="s">
        <v>43</v>
      </c>
      <c r="G240" s="116" t="s">
        <v>47</v>
      </c>
      <c r="H240" s="116" t="s">
        <v>83</v>
      </c>
      <c r="I240" s="117" t="s">
        <v>93</v>
      </c>
      <c r="J240" s="118" t="s">
        <v>58</v>
      </c>
      <c r="K240" s="172">
        <v>479.7</v>
      </c>
      <c r="L240" s="33">
        <f>M240-K240</f>
        <v>0</v>
      </c>
      <c r="M240" s="172">
        <v>479.7</v>
      </c>
      <c r="N240" s="172">
        <v>483.3</v>
      </c>
    </row>
    <row r="241" spans="1:14" s="173" customFormat="1" ht="18" x14ac:dyDescent="0.35">
      <c r="A241" s="168"/>
      <c r="B241" s="114" t="s">
        <v>181</v>
      </c>
      <c r="C241" s="169" t="s">
        <v>478</v>
      </c>
      <c r="D241" s="170" t="s">
        <v>226</v>
      </c>
      <c r="E241" s="170"/>
      <c r="F241" s="115"/>
      <c r="G241" s="116"/>
      <c r="H241" s="116"/>
      <c r="I241" s="141"/>
      <c r="J241" s="118"/>
      <c r="K241" s="33">
        <f>K242+K248</f>
        <v>75756</v>
      </c>
      <c r="L241" s="33">
        <f>L242+L248</f>
        <v>0</v>
      </c>
      <c r="M241" s="33">
        <f>M242+M248</f>
        <v>75756</v>
      </c>
      <c r="N241" s="33">
        <f>N242+N248</f>
        <v>0</v>
      </c>
    </row>
    <row r="242" spans="1:14" s="173" customFormat="1" ht="18" x14ac:dyDescent="0.35">
      <c r="A242" s="168"/>
      <c r="B242" s="114" t="s">
        <v>183</v>
      </c>
      <c r="C242" s="169" t="s">
        <v>478</v>
      </c>
      <c r="D242" s="170" t="s">
        <v>226</v>
      </c>
      <c r="E242" s="170" t="s">
        <v>39</v>
      </c>
      <c r="F242" s="115"/>
      <c r="G242" s="116"/>
      <c r="H242" s="116"/>
      <c r="I242" s="117"/>
      <c r="J242" s="118"/>
      <c r="K242" s="361">
        <f t="shared" ref="K242:N244" si="39">K243</f>
        <v>53548.399999999994</v>
      </c>
      <c r="L242" s="361">
        <f t="shared" si="39"/>
        <v>0</v>
      </c>
      <c r="M242" s="361">
        <f t="shared" si="39"/>
        <v>53548.399999999994</v>
      </c>
      <c r="N242" s="172">
        <f t="shared" si="39"/>
        <v>0</v>
      </c>
    </row>
    <row r="243" spans="1:14" s="173" customFormat="1" ht="54" x14ac:dyDescent="0.35">
      <c r="A243" s="168"/>
      <c r="B243" s="114" t="s">
        <v>505</v>
      </c>
      <c r="C243" s="169" t="s">
        <v>478</v>
      </c>
      <c r="D243" s="170" t="s">
        <v>226</v>
      </c>
      <c r="E243" s="170" t="s">
        <v>39</v>
      </c>
      <c r="F243" s="115" t="s">
        <v>41</v>
      </c>
      <c r="G243" s="116" t="s">
        <v>44</v>
      </c>
      <c r="H243" s="116" t="s">
        <v>45</v>
      </c>
      <c r="I243" s="117" t="s">
        <v>46</v>
      </c>
      <c r="J243" s="118"/>
      <c r="K243" s="361">
        <f t="shared" si="39"/>
        <v>53548.399999999994</v>
      </c>
      <c r="L243" s="361">
        <f t="shared" si="39"/>
        <v>0</v>
      </c>
      <c r="M243" s="361">
        <f t="shared" si="39"/>
        <v>53548.399999999994</v>
      </c>
      <c r="N243" s="172">
        <f t="shared" si="39"/>
        <v>0</v>
      </c>
    </row>
    <row r="244" spans="1:14" s="173" customFormat="1" ht="36" x14ac:dyDescent="0.35">
      <c r="A244" s="168"/>
      <c r="B244" s="114" t="s">
        <v>208</v>
      </c>
      <c r="C244" s="169" t="s">
        <v>478</v>
      </c>
      <c r="D244" s="170" t="s">
        <v>226</v>
      </c>
      <c r="E244" s="170" t="s">
        <v>39</v>
      </c>
      <c r="F244" s="115" t="s">
        <v>41</v>
      </c>
      <c r="G244" s="116" t="s">
        <v>47</v>
      </c>
      <c r="H244" s="116" t="s">
        <v>45</v>
      </c>
      <c r="I244" s="117" t="s">
        <v>46</v>
      </c>
      <c r="J244" s="118"/>
      <c r="K244" s="361">
        <f t="shared" si="39"/>
        <v>53548.399999999994</v>
      </c>
      <c r="L244" s="361">
        <f t="shared" si="39"/>
        <v>0</v>
      </c>
      <c r="M244" s="361">
        <f t="shared" si="39"/>
        <v>53548.399999999994</v>
      </c>
      <c r="N244" s="172">
        <f t="shared" si="39"/>
        <v>0</v>
      </c>
    </row>
    <row r="245" spans="1:14" s="173" customFormat="1" ht="36" x14ac:dyDescent="0.35">
      <c r="A245" s="168"/>
      <c r="B245" s="114" t="s">
        <v>269</v>
      </c>
      <c r="C245" s="169" t="s">
        <v>478</v>
      </c>
      <c r="D245" s="170" t="s">
        <v>226</v>
      </c>
      <c r="E245" s="170" t="s">
        <v>39</v>
      </c>
      <c r="F245" s="115" t="s">
        <v>41</v>
      </c>
      <c r="G245" s="116" t="s">
        <v>47</v>
      </c>
      <c r="H245" s="116" t="s">
        <v>39</v>
      </c>
      <c r="I245" s="141" t="s">
        <v>46</v>
      </c>
      <c r="J245" s="118"/>
      <c r="K245" s="361">
        <f t="shared" ref="K245:N246" si="40">K246</f>
        <v>53548.399999999994</v>
      </c>
      <c r="L245" s="361">
        <f t="shared" si="40"/>
        <v>0</v>
      </c>
      <c r="M245" s="361">
        <f t="shared" si="40"/>
        <v>53548.399999999994</v>
      </c>
      <c r="N245" s="361">
        <f t="shared" si="40"/>
        <v>0</v>
      </c>
    </row>
    <row r="246" spans="1:14" s="173" customFormat="1" ht="36" x14ac:dyDescent="0.35">
      <c r="A246" s="168"/>
      <c r="B246" s="31" t="s">
        <v>210</v>
      </c>
      <c r="C246" s="169" t="s">
        <v>478</v>
      </c>
      <c r="D246" s="170" t="s">
        <v>226</v>
      </c>
      <c r="E246" s="170" t="s">
        <v>39</v>
      </c>
      <c r="F246" s="115" t="s">
        <v>41</v>
      </c>
      <c r="G246" s="116" t="s">
        <v>47</v>
      </c>
      <c r="H246" s="116" t="s">
        <v>39</v>
      </c>
      <c r="I246" s="141" t="s">
        <v>276</v>
      </c>
      <c r="J246" s="118"/>
      <c r="K246" s="361">
        <f t="shared" si="40"/>
        <v>53548.399999999994</v>
      </c>
      <c r="L246" s="361">
        <f t="shared" si="40"/>
        <v>0</v>
      </c>
      <c r="M246" s="361">
        <f t="shared" si="40"/>
        <v>53548.399999999994</v>
      </c>
      <c r="N246" s="361">
        <f t="shared" si="40"/>
        <v>0</v>
      </c>
    </row>
    <row r="247" spans="1:14" s="173" customFormat="1" ht="54" x14ac:dyDescent="0.35">
      <c r="A247" s="168"/>
      <c r="B247" s="114" t="s">
        <v>205</v>
      </c>
      <c r="C247" s="169" t="s">
        <v>478</v>
      </c>
      <c r="D247" s="170" t="s">
        <v>226</v>
      </c>
      <c r="E247" s="170" t="s">
        <v>39</v>
      </c>
      <c r="F247" s="115" t="s">
        <v>41</v>
      </c>
      <c r="G247" s="116" t="s">
        <v>47</v>
      </c>
      <c r="H247" s="116" t="s">
        <v>39</v>
      </c>
      <c r="I247" s="141" t="s">
        <v>276</v>
      </c>
      <c r="J247" s="118" t="s">
        <v>206</v>
      </c>
      <c r="K247" s="361">
        <f>194+267.7+1011.8+30647.1+9195.1+12232.7</f>
        <v>53548.399999999994</v>
      </c>
      <c r="L247" s="33">
        <f>M247-K247</f>
        <v>0</v>
      </c>
      <c r="M247" s="361">
        <f>194+267.7+1011.8+30647.1+9195.1+12232.7</f>
        <v>53548.399999999994</v>
      </c>
      <c r="N247" s="172">
        <v>0</v>
      </c>
    </row>
    <row r="248" spans="1:14" s="173" customFormat="1" ht="18" x14ac:dyDescent="0.35">
      <c r="A248" s="168"/>
      <c r="B248" s="114" t="s">
        <v>185</v>
      </c>
      <c r="C248" s="169" t="s">
        <v>478</v>
      </c>
      <c r="D248" s="170" t="s">
        <v>226</v>
      </c>
      <c r="E248" s="170" t="s">
        <v>41</v>
      </c>
      <c r="F248" s="115"/>
      <c r="G248" s="116"/>
      <c r="H248" s="116"/>
      <c r="I248" s="141"/>
      <c r="J248" s="118"/>
      <c r="K248" s="361">
        <f t="shared" ref="K248:M252" si="41">K249</f>
        <v>22207.599999999999</v>
      </c>
      <c r="L248" s="361">
        <f t="shared" si="41"/>
        <v>0</v>
      </c>
      <c r="M248" s="361">
        <f t="shared" si="41"/>
        <v>22207.599999999999</v>
      </c>
      <c r="N248" s="172">
        <v>0</v>
      </c>
    </row>
    <row r="249" spans="1:14" s="173" customFormat="1" ht="54" x14ac:dyDescent="0.35">
      <c r="A249" s="168"/>
      <c r="B249" s="114" t="s">
        <v>207</v>
      </c>
      <c r="C249" s="169" t="s">
        <v>478</v>
      </c>
      <c r="D249" s="170" t="s">
        <v>226</v>
      </c>
      <c r="E249" s="170" t="s">
        <v>41</v>
      </c>
      <c r="F249" s="115" t="s">
        <v>41</v>
      </c>
      <c r="G249" s="116" t="s">
        <v>44</v>
      </c>
      <c r="H249" s="116" t="s">
        <v>45</v>
      </c>
      <c r="I249" s="117" t="s">
        <v>46</v>
      </c>
      <c r="J249" s="118"/>
      <c r="K249" s="361">
        <f t="shared" si="41"/>
        <v>22207.599999999999</v>
      </c>
      <c r="L249" s="361">
        <f t="shared" si="41"/>
        <v>0</v>
      </c>
      <c r="M249" s="361">
        <f t="shared" si="41"/>
        <v>22207.599999999999</v>
      </c>
      <c r="N249" s="172">
        <v>0</v>
      </c>
    </row>
    <row r="250" spans="1:14" s="173" customFormat="1" ht="36" x14ac:dyDescent="0.35">
      <c r="A250" s="168"/>
      <c r="B250" s="114" t="s">
        <v>208</v>
      </c>
      <c r="C250" s="169" t="s">
        <v>478</v>
      </c>
      <c r="D250" s="170" t="s">
        <v>226</v>
      </c>
      <c r="E250" s="170" t="s">
        <v>41</v>
      </c>
      <c r="F250" s="115" t="s">
        <v>41</v>
      </c>
      <c r="G250" s="116" t="s">
        <v>47</v>
      </c>
      <c r="H250" s="116" t="s">
        <v>45</v>
      </c>
      <c r="I250" s="117" t="s">
        <v>46</v>
      </c>
      <c r="J250" s="118"/>
      <c r="K250" s="361">
        <f t="shared" si="41"/>
        <v>22207.599999999999</v>
      </c>
      <c r="L250" s="361">
        <f t="shared" si="41"/>
        <v>0</v>
      </c>
      <c r="M250" s="361">
        <f t="shared" si="41"/>
        <v>22207.599999999999</v>
      </c>
      <c r="N250" s="172">
        <v>0</v>
      </c>
    </row>
    <row r="251" spans="1:14" s="173" customFormat="1" ht="18" x14ac:dyDescent="0.35">
      <c r="A251" s="168"/>
      <c r="B251" s="114" t="s">
        <v>274</v>
      </c>
      <c r="C251" s="169" t="s">
        <v>478</v>
      </c>
      <c r="D251" s="170" t="s">
        <v>226</v>
      </c>
      <c r="E251" s="170" t="s">
        <v>41</v>
      </c>
      <c r="F251" s="115" t="s">
        <v>41</v>
      </c>
      <c r="G251" s="116" t="s">
        <v>47</v>
      </c>
      <c r="H251" s="116" t="s">
        <v>41</v>
      </c>
      <c r="I251" s="117" t="s">
        <v>46</v>
      </c>
      <c r="J251" s="118"/>
      <c r="K251" s="361">
        <f t="shared" si="41"/>
        <v>22207.599999999999</v>
      </c>
      <c r="L251" s="361">
        <f t="shared" si="41"/>
        <v>0</v>
      </c>
      <c r="M251" s="361">
        <f t="shared" si="41"/>
        <v>22207.599999999999</v>
      </c>
      <c r="N251" s="172">
        <v>0</v>
      </c>
    </row>
    <row r="252" spans="1:14" s="173" customFormat="1" ht="36" x14ac:dyDescent="0.35">
      <c r="A252" s="168"/>
      <c r="B252" s="114" t="s">
        <v>210</v>
      </c>
      <c r="C252" s="169" t="s">
        <v>478</v>
      </c>
      <c r="D252" s="170" t="s">
        <v>226</v>
      </c>
      <c r="E252" s="170" t="s">
        <v>41</v>
      </c>
      <c r="F252" s="115" t="s">
        <v>41</v>
      </c>
      <c r="G252" s="116" t="s">
        <v>47</v>
      </c>
      <c r="H252" s="116" t="s">
        <v>41</v>
      </c>
      <c r="I252" s="117" t="s">
        <v>276</v>
      </c>
      <c r="J252" s="118"/>
      <c r="K252" s="361">
        <f t="shared" si="41"/>
        <v>22207.599999999999</v>
      </c>
      <c r="L252" s="361">
        <f t="shared" si="41"/>
        <v>0</v>
      </c>
      <c r="M252" s="361">
        <f t="shared" si="41"/>
        <v>22207.599999999999</v>
      </c>
      <c r="N252" s="172">
        <v>0</v>
      </c>
    </row>
    <row r="253" spans="1:14" s="173" customFormat="1" ht="54" x14ac:dyDescent="0.35">
      <c r="A253" s="168"/>
      <c r="B253" s="114" t="s">
        <v>205</v>
      </c>
      <c r="C253" s="169" t="s">
        <v>478</v>
      </c>
      <c r="D253" s="170" t="s">
        <v>226</v>
      </c>
      <c r="E253" s="170" t="s">
        <v>41</v>
      </c>
      <c r="F253" s="115" t="s">
        <v>41</v>
      </c>
      <c r="G253" s="116" t="s">
        <v>47</v>
      </c>
      <c r="H253" s="116" t="s">
        <v>41</v>
      </c>
      <c r="I253" s="117" t="s">
        <v>276</v>
      </c>
      <c r="J253" s="118" t="s">
        <v>206</v>
      </c>
      <c r="K253" s="361">
        <f>190.9+124.1+296+252.1+269.8+7319.8+13754.9</f>
        <v>22207.599999999999</v>
      </c>
      <c r="L253" s="33">
        <f>M253-K253</f>
        <v>0</v>
      </c>
      <c r="M253" s="361">
        <f>190.9+124.1+296+252.1+269.8+7319.8+13754.9</f>
        <v>22207.599999999999</v>
      </c>
      <c r="N253" s="172">
        <v>0</v>
      </c>
    </row>
    <row r="254" spans="1:14" s="184" customFormat="1" ht="18" x14ac:dyDescent="0.35">
      <c r="A254" s="181"/>
      <c r="B254" s="182" t="s">
        <v>121</v>
      </c>
      <c r="C254" s="183" t="s">
        <v>478</v>
      </c>
      <c r="D254" s="139" t="s">
        <v>106</v>
      </c>
      <c r="E254" s="139"/>
      <c r="F254" s="136"/>
      <c r="G254" s="137"/>
      <c r="H254" s="137"/>
      <c r="I254" s="138"/>
      <c r="J254" s="139"/>
      <c r="K254" s="172">
        <f>K255+K405</f>
        <v>47267.9</v>
      </c>
      <c r="L254" s="172">
        <f>L255+L405</f>
        <v>0</v>
      </c>
      <c r="M254" s="172">
        <f>M255+M405</f>
        <v>47267.9</v>
      </c>
      <c r="N254" s="172">
        <f>N255+N405</f>
        <v>47267.9</v>
      </c>
    </row>
    <row r="255" spans="1:14" s="184" customFormat="1" ht="18" x14ac:dyDescent="0.35">
      <c r="A255" s="181"/>
      <c r="B255" s="135" t="s">
        <v>195</v>
      </c>
      <c r="C255" s="183" t="s">
        <v>478</v>
      </c>
      <c r="D255" s="139" t="s">
        <v>106</v>
      </c>
      <c r="E255" s="139" t="s">
        <v>54</v>
      </c>
      <c r="F255" s="136"/>
      <c r="G255" s="137"/>
      <c r="H255" s="137"/>
      <c r="I255" s="138"/>
      <c r="J255" s="139"/>
      <c r="K255" s="172">
        <f t="shared" ref="K255:N257" si="42">K256</f>
        <v>47267.9</v>
      </c>
      <c r="L255" s="172">
        <f t="shared" si="42"/>
        <v>0</v>
      </c>
      <c r="M255" s="172">
        <f t="shared" si="42"/>
        <v>47267.9</v>
      </c>
      <c r="N255" s="172">
        <f t="shared" si="42"/>
        <v>47267.9</v>
      </c>
    </row>
    <row r="256" spans="1:14" s="184" customFormat="1" ht="54" x14ac:dyDescent="0.35">
      <c r="A256" s="181"/>
      <c r="B256" s="185" t="s">
        <v>232</v>
      </c>
      <c r="C256" s="183" t="s">
        <v>478</v>
      </c>
      <c r="D256" s="139" t="s">
        <v>106</v>
      </c>
      <c r="E256" s="139" t="s">
        <v>54</v>
      </c>
      <c r="F256" s="136" t="s">
        <v>81</v>
      </c>
      <c r="G256" s="137" t="s">
        <v>44</v>
      </c>
      <c r="H256" s="137" t="s">
        <v>45</v>
      </c>
      <c r="I256" s="138" t="s">
        <v>46</v>
      </c>
      <c r="J256" s="139"/>
      <c r="K256" s="172">
        <f t="shared" si="42"/>
        <v>47267.9</v>
      </c>
      <c r="L256" s="172">
        <f t="shared" si="42"/>
        <v>0</v>
      </c>
      <c r="M256" s="172">
        <f t="shared" si="42"/>
        <v>47267.9</v>
      </c>
      <c r="N256" s="172">
        <f t="shared" si="42"/>
        <v>47267.9</v>
      </c>
    </row>
    <row r="257" spans="1:15" s="184" customFormat="1" ht="36" x14ac:dyDescent="0.35">
      <c r="A257" s="181"/>
      <c r="B257" s="135" t="s">
        <v>345</v>
      </c>
      <c r="C257" s="183" t="s">
        <v>478</v>
      </c>
      <c r="D257" s="139" t="s">
        <v>106</v>
      </c>
      <c r="E257" s="139" t="s">
        <v>54</v>
      </c>
      <c r="F257" s="136" t="s">
        <v>81</v>
      </c>
      <c r="G257" s="137" t="s">
        <v>47</v>
      </c>
      <c r="H257" s="137" t="s">
        <v>45</v>
      </c>
      <c r="I257" s="138" t="s">
        <v>46</v>
      </c>
      <c r="J257" s="139"/>
      <c r="K257" s="172">
        <f t="shared" si="42"/>
        <v>47267.9</v>
      </c>
      <c r="L257" s="172">
        <f t="shared" si="42"/>
        <v>0</v>
      </c>
      <c r="M257" s="172">
        <f t="shared" si="42"/>
        <v>47267.9</v>
      </c>
      <c r="N257" s="172">
        <f t="shared" si="42"/>
        <v>47267.9</v>
      </c>
    </row>
    <row r="258" spans="1:15" s="186" customFormat="1" ht="90" x14ac:dyDescent="0.35">
      <c r="A258" s="181"/>
      <c r="B258" s="135" t="s">
        <v>303</v>
      </c>
      <c r="C258" s="183" t="s">
        <v>478</v>
      </c>
      <c r="D258" s="139" t="s">
        <v>106</v>
      </c>
      <c r="E258" s="139" t="s">
        <v>54</v>
      </c>
      <c r="F258" s="136" t="s">
        <v>81</v>
      </c>
      <c r="G258" s="137" t="s">
        <v>47</v>
      </c>
      <c r="H258" s="137" t="s">
        <v>41</v>
      </c>
      <c r="I258" s="138" t="s">
        <v>46</v>
      </c>
      <c r="J258" s="139"/>
      <c r="K258" s="172">
        <f>K259+K261</f>
        <v>47267.9</v>
      </c>
      <c r="L258" s="172">
        <f>L259+L261</f>
        <v>0</v>
      </c>
      <c r="M258" s="172">
        <f>M259+M261</f>
        <v>47267.9</v>
      </c>
      <c r="N258" s="172">
        <f>N259+N261</f>
        <v>47267.9</v>
      </c>
    </row>
    <row r="259" spans="1:15" s="173" customFormat="1" ht="110.25" customHeight="1" x14ac:dyDescent="0.35">
      <c r="A259" s="168"/>
      <c r="B259" s="140" t="s">
        <v>480</v>
      </c>
      <c r="C259" s="169" t="s">
        <v>478</v>
      </c>
      <c r="D259" s="170" t="s">
        <v>106</v>
      </c>
      <c r="E259" s="170" t="s">
        <v>54</v>
      </c>
      <c r="F259" s="115" t="s">
        <v>81</v>
      </c>
      <c r="G259" s="116" t="s">
        <v>47</v>
      </c>
      <c r="H259" s="116" t="s">
        <v>41</v>
      </c>
      <c r="I259" s="141" t="s">
        <v>481</v>
      </c>
      <c r="J259" s="118"/>
      <c r="K259" s="172">
        <f>K260</f>
        <v>39126.1</v>
      </c>
      <c r="L259" s="172">
        <f>L260</f>
        <v>0</v>
      </c>
      <c r="M259" s="172">
        <f>M260</f>
        <v>39126.1</v>
      </c>
      <c r="N259" s="172">
        <f>N260</f>
        <v>39126.1</v>
      </c>
    </row>
    <row r="260" spans="1:15" s="173" customFormat="1" ht="54" x14ac:dyDescent="0.35">
      <c r="A260" s="168"/>
      <c r="B260" s="140" t="s">
        <v>205</v>
      </c>
      <c r="C260" s="169" t="s">
        <v>478</v>
      </c>
      <c r="D260" s="170" t="s">
        <v>106</v>
      </c>
      <c r="E260" s="170" t="s">
        <v>54</v>
      </c>
      <c r="F260" s="115" t="s">
        <v>81</v>
      </c>
      <c r="G260" s="116" t="s">
        <v>47</v>
      </c>
      <c r="H260" s="116" t="s">
        <v>41</v>
      </c>
      <c r="I260" s="141" t="s">
        <v>481</v>
      </c>
      <c r="J260" s="118" t="s">
        <v>206</v>
      </c>
      <c r="K260" s="250">
        <f>47267.9-8141.8</f>
        <v>39126.1</v>
      </c>
      <c r="L260" s="33">
        <f>M260-K260</f>
        <v>0</v>
      </c>
      <c r="M260" s="250">
        <f>47267.9-8141.8</f>
        <v>39126.1</v>
      </c>
      <c r="N260" s="250">
        <f>47267.9-8141.8</f>
        <v>39126.1</v>
      </c>
    </row>
    <row r="261" spans="1:15" s="173" customFormat="1" ht="108" x14ac:dyDescent="0.35">
      <c r="A261" s="168"/>
      <c r="B261" s="140" t="s">
        <v>480</v>
      </c>
      <c r="C261" s="169" t="s">
        <v>478</v>
      </c>
      <c r="D261" s="170" t="s">
        <v>106</v>
      </c>
      <c r="E261" s="170" t="s">
        <v>54</v>
      </c>
      <c r="F261" s="115" t="s">
        <v>81</v>
      </c>
      <c r="G261" s="116" t="s">
        <v>47</v>
      </c>
      <c r="H261" s="116" t="s">
        <v>41</v>
      </c>
      <c r="I261" s="141" t="s">
        <v>732</v>
      </c>
      <c r="J261" s="171"/>
      <c r="K261" s="344">
        <f>K262</f>
        <v>8141.8</v>
      </c>
      <c r="L261" s="344">
        <f>L262</f>
        <v>0</v>
      </c>
      <c r="M261" s="344">
        <f>M262</f>
        <v>8141.8</v>
      </c>
      <c r="N261" s="344">
        <f>N262</f>
        <v>8141.8</v>
      </c>
    </row>
    <row r="262" spans="1:15" s="173" customFormat="1" ht="54" x14ac:dyDescent="0.35">
      <c r="A262" s="168"/>
      <c r="B262" s="140" t="s">
        <v>205</v>
      </c>
      <c r="C262" s="169" t="s">
        <v>478</v>
      </c>
      <c r="D262" s="170" t="s">
        <v>106</v>
      </c>
      <c r="E262" s="170" t="s">
        <v>54</v>
      </c>
      <c r="F262" s="115" t="s">
        <v>81</v>
      </c>
      <c r="G262" s="116" t="s">
        <v>47</v>
      </c>
      <c r="H262" s="116" t="s">
        <v>41</v>
      </c>
      <c r="I262" s="141" t="s">
        <v>732</v>
      </c>
      <c r="J262" s="171" t="s">
        <v>206</v>
      </c>
      <c r="K262" s="344">
        <v>8141.8</v>
      </c>
      <c r="L262" s="33">
        <f>M262-K262</f>
        <v>0</v>
      </c>
      <c r="M262" s="344">
        <v>8141.8</v>
      </c>
      <c r="N262" s="344">
        <v>8141.8</v>
      </c>
    </row>
    <row r="263" spans="1:15" s="173" customFormat="1" ht="18" x14ac:dyDescent="0.35">
      <c r="A263" s="168"/>
      <c r="B263" s="140" t="s">
        <v>326</v>
      </c>
      <c r="C263" s="169" t="s">
        <v>478</v>
      </c>
      <c r="D263" s="170" t="s">
        <v>69</v>
      </c>
      <c r="E263" s="170"/>
      <c r="F263" s="115"/>
      <c r="G263" s="116"/>
      <c r="H263" s="116"/>
      <c r="I263" s="141"/>
      <c r="J263" s="118"/>
      <c r="K263" s="625">
        <f t="shared" ref="K263:N268" si="43">K264</f>
        <v>10254.300000000001</v>
      </c>
      <c r="L263" s="625">
        <f t="shared" si="43"/>
        <v>0</v>
      </c>
      <c r="M263" s="625">
        <f t="shared" si="43"/>
        <v>10254.300000000001</v>
      </c>
      <c r="N263" s="626">
        <f t="shared" si="43"/>
        <v>0</v>
      </c>
    </row>
    <row r="264" spans="1:15" s="173" customFormat="1" ht="18" x14ac:dyDescent="0.35">
      <c r="A264" s="168"/>
      <c r="B264" s="140" t="s">
        <v>369</v>
      </c>
      <c r="C264" s="169" t="s">
        <v>478</v>
      </c>
      <c r="D264" s="170" t="s">
        <v>69</v>
      </c>
      <c r="E264" s="170" t="s">
        <v>39</v>
      </c>
      <c r="F264" s="115"/>
      <c r="G264" s="116"/>
      <c r="H264" s="116"/>
      <c r="I264" s="141"/>
      <c r="J264" s="118"/>
      <c r="K264" s="611">
        <f t="shared" si="43"/>
        <v>10254.300000000001</v>
      </c>
      <c r="L264" s="611">
        <f t="shared" si="43"/>
        <v>0</v>
      </c>
      <c r="M264" s="611">
        <f t="shared" si="43"/>
        <v>10254.300000000001</v>
      </c>
      <c r="N264" s="344">
        <f t="shared" si="43"/>
        <v>0</v>
      </c>
    </row>
    <row r="265" spans="1:15" s="173" customFormat="1" ht="54" x14ac:dyDescent="0.35">
      <c r="A265" s="168"/>
      <c r="B265" s="140" t="s">
        <v>219</v>
      </c>
      <c r="C265" s="169" t="s">
        <v>478</v>
      </c>
      <c r="D265" s="170" t="s">
        <v>69</v>
      </c>
      <c r="E265" s="170" t="s">
        <v>39</v>
      </c>
      <c r="F265" s="115" t="s">
        <v>54</v>
      </c>
      <c r="G265" s="116" t="s">
        <v>44</v>
      </c>
      <c r="H265" s="116" t="s">
        <v>45</v>
      </c>
      <c r="I265" s="141" t="s">
        <v>46</v>
      </c>
      <c r="J265" s="118"/>
      <c r="K265" s="611">
        <f t="shared" si="43"/>
        <v>10254.300000000001</v>
      </c>
      <c r="L265" s="611">
        <f t="shared" si="43"/>
        <v>0</v>
      </c>
      <c r="M265" s="611">
        <f t="shared" si="43"/>
        <v>10254.300000000001</v>
      </c>
      <c r="N265" s="344">
        <f t="shared" si="43"/>
        <v>0</v>
      </c>
    </row>
    <row r="266" spans="1:15" s="173" customFormat="1" ht="36" x14ac:dyDescent="0.35">
      <c r="A266" s="168"/>
      <c r="B266" s="140" t="s">
        <v>345</v>
      </c>
      <c r="C266" s="169" t="s">
        <v>478</v>
      </c>
      <c r="D266" s="170" t="s">
        <v>69</v>
      </c>
      <c r="E266" s="170" t="s">
        <v>39</v>
      </c>
      <c r="F266" s="115" t="s">
        <v>54</v>
      </c>
      <c r="G266" s="116" t="s">
        <v>33</v>
      </c>
      <c r="H266" s="116" t="s">
        <v>45</v>
      </c>
      <c r="I266" s="141" t="s">
        <v>46</v>
      </c>
      <c r="J266" s="118"/>
      <c r="K266" s="611">
        <f t="shared" si="43"/>
        <v>10254.300000000001</v>
      </c>
      <c r="L266" s="611">
        <f t="shared" si="43"/>
        <v>0</v>
      </c>
      <c r="M266" s="611">
        <f t="shared" si="43"/>
        <v>10254.300000000001</v>
      </c>
      <c r="N266" s="344">
        <f t="shared" si="43"/>
        <v>0</v>
      </c>
    </row>
    <row r="267" spans="1:15" s="173" customFormat="1" ht="72" x14ac:dyDescent="0.35">
      <c r="A267" s="168"/>
      <c r="B267" s="140" t="s">
        <v>474</v>
      </c>
      <c r="C267" s="169" t="s">
        <v>478</v>
      </c>
      <c r="D267" s="170" t="s">
        <v>69</v>
      </c>
      <c r="E267" s="170" t="s">
        <v>39</v>
      </c>
      <c r="F267" s="115" t="s">
        <v>54</v>
      </c>
      <c r="G267" s="116" t="s">
        <v>33</v>
      </c>
      <c r="H267" s="116" t="s">
        <v>65</v>
      </c>
      <c r="I267" s="141" t="s">
        <v>46</v>
      </c>
      <c r="J267" s="118"/>
      <c r="K267" s="611">
        <f t="shared" si="43"/>
        <v>10254.300000000001</v>
      </c>
      <c r="L267" s="611">
        <f t="shared" si="43"/>
        <v>0</v>
      </c>
      <c r="M267" s="611">
        <f t="shared" si="43"/>
        <v>10254.300000000001</v>
      </c>
      <c r="N267" s="344">
        <f t="shared" si="43"/>
        <v>0</v>
      </c>
    </row>
    <row r="268" spans="1:15" s="173" customFormat="1" ht="54" x14ac:dyDescent="0.35">
      <c r="A268" s="168"/>
      <c r="B268" s="140" t="s">
        <v>221</v>
      </c>
      <c r="C268" s="169" t="s">
        <v>478</v>
      </c>
      <c r="D268" s="170" t="s">
        <v>69</v>
      </c>
      <c r="E268" s="170" t="s">
        <v>39</v>
      </c>
      <c r="F268" s="115" t="s">
        <v>54</v>
      </c>
      <c r="G268" s="116" t="s">
        <v>33</v>
      </c>
      <c r="H268" s="116" t="s">
        <v>65</v>
      </c>
      <c r="I268" s="141" t="s">
        <v>295</v>
      </c>
      <c r="J268" s="118"/>
      <c r="K268" s="611">
        <f>K269</f>
        <v>10254.300000000001</v>
      </c>
      <c r="L268" s="611">
        <f>L269</f>
        <v>0</v>
      </c>
      <c r="M268" s="611">
        <f>M269</f>
        <v>10254.300000000001</v>
      </c>
      <c r="N268" s="344">
        <f t="shared" si="43"/>
        <v>0</v>
      </c>
    </row>
    <row r="269" spans="1:15" s="173" customFormat="1" ht="54" x14ac:dyDescent="0.35">
      <c r="A269" s="168"/>
      <c r="B269" s="140" t="s">
        <v>205</v>
      </c>
      <c r="C269" s="169" t="s">
        <v>478</v>
      </c>
      <c r="D269" s="170" t="s">
        <v>69</v>
      </c>
      <c r="E269" s="170" t="s">
        <v>39</v>
      </c>
      <c r="F269" s="115" t="s">
        <v>54</v>
      </c>
      <c r="G269" s="116" t="s">
        <v>33</v>
      </c>
      <c r="H269" s="116" t="s">
        <v>65</v>
      </c>
      <c r="I269" s="141" t="s">
        <v>295</v>
      </c>
      <c r="J269" s="609" t="s">
        <v>206</v>
      </c>
      <c r="K269" s="611">
        <f>129.7+10124.6</f>
        <v>10254.300000000001</v>
      </c>
      <c r="L269" s="33">
        <f>M269-K269</f>
        <v>0</v>
      </c>
      <c r="M269" s="611">
        <f>129.7+10124.6</f>
        <v>10254.300000000001</v>
      </c>
      <c r="N269" s="612">
        <v>0</v>
      </c>
    </row>
    <row r="270" spans="1:15" s="158" customFormat="1" ht="18" x14ac:dyDescent="0.35">
      <c r="A270" s="18"/>
      <c r="B270" s="31"/>
      <c r="C270" s="32"/>
      <c r="D270" s="17"/>
      <c r="E270" s="17"/>
      <c r="F270" s="659"/>
      <c r="G270" s="660"/>
      <c r="H270" s="660"/>
      <c r="I270" s="661"/>
      <c r="J270" s="17"/>
      <c r="K270" s="33"/>
      <c r="L270" s="33"/>
      <c r="M270" s="33"/>
      <c r="N270" s="33"/>
    </row>
    <row r="271" spans="1:15" s="156" customFormat="1" ht="52.2" x14ac:dyDescent="0.3">
      <c r="A271" s="151">
        <v>5</v>
      </c>
      <c r="B271" s="25" t="s">
        <v>7</v>
      </c>
      <c r="C271" s="26" t="s">
        <v>491</v>
      </c>
      <c r="D271" s="27"/>
      <c r="E271" s="27"/>
      <c r="F271" s="28"/>
      <c r="G271" s="29"/>
      <c r="H271" s="29"/>
      <c r="I271" s="30"/>
      <c r="J271" s="27"/>
      <c r="K271" s="47">
        <f>K285+K397+K272</f>
        <v>1023183.5000000001</v>
      </c>
      <c r="L271" s="47">
        <f>L285+L397+L272</f>
        <v>0</v>
      </c>
      <c r="M271" s="47">
        <f>M285+M397+M272</f>
        <v>1023183.5000000001</v>
      </c>
      <c r="N271" s="47">
        <f>N285+N397+N272</f>
        <v>1098331.5999999999</v>
      </c>
      <c r="O271" s="187"/>
    </row>
    <row r="272" spans="1:15" s="156" customFormat="1" ht="18" x14ac:dyDescent="0.35">
      <c r="A272" s="151"/>
      <c r="B272" s="311" t="s">
        <v>38</v>
      </c>
      <c r="C272" s="319" t="s">
        <v>491</v>
      </c>
      <c r="D272" s="312" t="s">
        <v>39</v>
      </c>
      <c r="E272" s="111"/>
      <c r="F272" s="320"/>
      <c r="G272" s="121"/>
      <c r="H272" s="121"/>
      <c r="I272" s="122"/>
      <c r="J272" s="111"/>
      <c r="K272" s="275">
        <f t="shared" ref="K272:M273" si="44">K273</f>
        <v>257.2</v>
      </c>
      <c r="L272" s="275">
        <f t="shared" si="44"/>
        <v>0</v>
      </c>
      <c r="M272" s="275">
        <f t="shared" si="44"/>
        <v>257.2</v>
      </c>
      <c r="N272" s="275">
        <f t="shared" ref="N272:N273" si="45">N273</f>
        <v>257.2</v>
      </c>
      <c r="O272" s="187"/>
    </row>
    <row r="273" spans="1:15" s="156" customFormat="1" ht="18" x14ac:dyDescent="0.35">
      <c r="A273" s="151"/>
      <c r="B273" s="311" t="s">
        <v>72</v>
      </c>
      <c r="C273" s="321" t="s">
        <v>491</v>
      </c>
      <c r="D273" s="312" t="s">
        <v>39</v>
      </c>
      <c r="E273" s="312" t="s">
        <v>73</v>
      </c>
      <c r="F273" s="320"/>
      <c r="G273" s="121"/>
      <c r="H273" s="121"/>
      <c r="I273" s="122"/>
      <c r="J273" s="111"/>
      <c r="K273" s="275">
        <f t="shared" si="44"/>
        <v>257.2</v>
      </c>
      <c r="L273" s="275">
        <f t="shared" si="44"/>
        <v>0</v>
      </c>
      <c r="M273" s="275">
        <f t="shared" si="44"/>
        <v>257.2</v>
      </c>
      <c r="N273" s="275">
        <f t="shared" si="45"/>
        <v>257.2</v>
      </c>
      <c r="O273" s="187"/>
    </row>
    <row r="274" spans="1:15" s="156" customFormat="1" ht="54" x14ac:dyDescent="0.35">
      <c r="A274" s="151"/>
      <c r="B274" s="311" t="s">
        <v>207</v>
      </c>
      <c r="C274" s="319" t="s">
        <v>491</v>
      </c>
      <c r="D274" s="312" t="s">
        <v>39</v>
      </c>
      <c r="E274" s="312" t="s">
        <v>73</v>
      </c>
      <c r="F274" s="652" t="s">
        <v>41</v>
      </c>
      <c r="G274" s="653" t="s">
        <v>44</v>
      </c>
      <c r="H274" s="653" t="s">
        <v>45</v>
      </c>
      <c r="I274" s="654" t="s">
        <v>46</v>
      </c>
      <c r="J274" s="312"/>
      <c r="K274" s="275">
        <f>K275</f>
        <v>257.2</v>
      </c>
      <c r="L274" s="275">
        <f>L275</f>
        <v>0</v>
      </c>
      <c r="M274" s="275">
        <f>M275</f>
        <v>257.2</v>
      </c>
      <c r="N274" s="275">
        <f>N275</f>
        <v>257.2</v>
      </c>
      <c r="O274" s="187"/>
    </row>
    <row r="275" spans="1:15" s="156" customFormat="1" ht="54" x14ac:dyDescent="0.35">
      <c r="A275" s="151"/>
      <c r="B275" s="290" t="s">
        <v>214</v>
      </c>
      <c r="C275" s="319" t="s">
        <v>491</v>
      </c>
      <c r="D275" s="312" t="s">
        <v>39</v>
      </c>
      <c r="E275" s="312" t="s">
        <v>73</v>
      </c>
      <c r="F275" s="652" t="s">
        <v>41</v>
      </c>
      <c r="G275" s="653" t="s">
        <v>32</v>
      </c>
      <c r="H275" s="653" t="s">
        <v>45</v>
      </c>
      <c r="I275" s="654" t="s">
        <v>46</v>
      </c>
      <c r="J275" s="312"/>
      <c r="K275" s="275">
        <f>K276+K279+K282</f>
        <v>257.2</v>
      </c>
      <c r="L275" s="275">
        <f>L276+L279+L282</f>
        <v>0</v>
      </c>
      <c r="M275" s="275">
        <f>M276+M279+M282</f>
        <v>257.2</v>
      </c>
      <c r="N275" s="275">
        <f>N276+N279+N282</f>
        <v>257.2</v>
      </c>
      <c r="O275" s="187"/>
    </row>
    <row r="276" spans="1:15" s="156" customFormat="1" ht="36" x14ac:dyDescent="0.35">
      <c r="A276" s="151"/>
      <c r="B276" s="311" t="s">
        <v>360</v>
      </c>
      <c r="C276" s="319" t="s">
        <v>491</v>
      </c>
      <c r="D276" s="312" t="s">
        <v>39</v>
      </c>
      <c r="E276" s="312" t="s">
        <v>73</v>
      </c>
      <c r="F276" s="652" t="s">
        <v>41</v>
      </c>
      <c r="G276" s="653" t="s">
        <v>32</v>
      </c>
      <c r="H276" s="653" t="s">
        <v>65</v>
      </c>
      <c r="I276" s="654" t="s">
        <v>46</v>
      </c>
      <c r="J276" s="312"/>
      <c r="K276" s="275">
        <f t="shared" ref="K276:N277" si="46">K277</f>
        <v>127.4</v>
      </c>
      <c r="L276" s="275">
        <f t="shared" si="46"/>
        <v>0</v>
      </c>
      <c r="M276" s="275">
        <f t="shared" si="46"/>
        <v>127.4</v>
      </c>
      <c r="N276" s="275">
        <f t="shared" si="46"/>
        <v>127.4</v>
      </c>
      <c r="O276" s="187"/>
    </row>
    <row r="277" spans="1:15" s="156" customFormat="1" ht="57" customHeight="1" x14ac:dyDescent="0.35">
      <c r="A277" s="151"/>
      <c r="B277" s="290" t="s">
        <v>555</v>
      </c>
      <c r="C277" s="321" t="s">
        <v>491</v>
      </c>
      <c r="D277" s="312" t="s">
        <v>39</v>
      </c>
      <c r="E277" s="312" t="s">
        <v>73</v>
      </c>
      <c r="F277" s="652" t="s">
        <v>41</v>
      </c>
      <c r="G277" s="653" t="s">
        <v>32</v>
      </c>
      <c r="H277" s="653" t="s">
        <v>65</v>
      </c>
      <c r="I277" s="654" t="s">
        <v>107</v>
      </c>
      <c r="J277" s="312"/>
      <c r="K277" s="275">
        <f t="shared" si="46"/>
        <v>127.4</v>
      </c>
      <c r="L277" s="275">
        <f t="shared" si="46"/>
        <v>0</v>
      </c>
      <c r="M277" s="275">
        <f t="shared" si="46"/>
        <v>127.4</v>
      </c>
      <c r="N277" s="275">
        <f t="shared" si="46"/>
        <v>127.4</v>
      </c>
      <c r="O277" s="187"/>
    </row>
    <row r="278" spans="1:15" s="156" customFormat="1" ht="54" x14ac:dyDescent="0.35">
      <c r="A278" s="151"/>
      <c r="B278" s="290" t="s">
        <v>57</v>
      </c>
      <c r="C278" s="321" t="s">
        <v>491</v>
      </c>
      <c r="D278" s="312" t="s">
        <v>39</v>
      </c>
      <c r="E278" s="312" t="s">
        <v>73</v>
      </c>
      <c r="F278" s="652" t="s">
        <v>41</v>
      </c>
      <c r="G278" s="653" t="s">
        <v>32</v>
      </c>
      <c r="H278" s="653" t="s">
        <v>65</v>
      </c>
      <c r="I278" s="654" t="s">
        <v>107</v>
      </c>
      <c r="J278" s="312" t="s">
        <v>58</v>
      </c>
      <c r="K278" s="275">
        <v>127.4</v>
      </c>
      <c r="L278" s="33">
        <f>M278-K278</f>
        <v>0</v>
      </c>
      <c r="M278" s="275">
        <v>127.4</v>
      </c>
      <c r="N278" s="275">
        <v>127.4</v>
      </c>
      <c r="O278" s="187"/>
    </row>
    <row r="279" spans="1:15" s="156" customFormat="1" ht="36" x14ac:dyDescent="0.35">
      <c r="A279" s="151"/>
      <c r="B279" s="290" t="s">
        <v>544</v>
      </c>
      <c r="C279" s="319" t="s">
        <v>491</v>
      </c>
      <c r="D279" s="312" t="s">
        <v>39</v>
      </c>
      <c r="E279" s="312" t="s">
        <v>73</v>
      </c>
      <c r="F279" s="652" t="s">
        <v>41</v>
      </c>
      <c r="G279" s="653" t="s">
        <v>32</v>
      </c>
      <c r="H279" s="653" t="s">
        <v>54</v>
      </c>
      <c r="I279" s="654" t="s">
        <v>46</v>
      </c>
      <c r="J279" s="312"/>
      <c r="K279" s="275">
        <f t="shared" ref="K279:N280" si="47">K280</f>
        <v>24</v>
      </c>
      <c r="L279" s="275">
        <f t="shared" si="47"/>
        <v>0</v>
      </c>
      <c r="M279" s="275">
        <f t="shared" si="47"/>
        <v>24</v>
      </c>
      <c r="N279" s="275">
        <f t="shared" si="47"/>
        <v>24</v>
      </c>
      <c r="O279" s="187"/>
    </row>
    <row r="280" spans="1:15" s="156" customFormat="1" ht="18" x14ac:dyDescent="0.35">
      <c r="A280" s="151"/>
      <c r="B280" s="290" t="s">
        <v>556</v>
      </c>
      <c r="C280" s="321" t="s">
        <v>491</v>
      </c>
      <c r="D280" s="312" t="s">
        <v>39</v>
      </c>
      <c r="E280" s="312" t="s">
        <v>73</v>
      </c>
      <c r="F280" s="652" t="s">
        <v>41</v>
      </c>
      <c r="G280" s="653" t="s">
        <v>32</v>
      </c>
      <c r="H280" s="653" t="s">
        <v>54</v>
      </c>
      <c r="I280" s="654" t="s">
        <v>543</v>
      </c>
      <c r="J280" s="312"/>
      <c r="K280" s="275">
        <f t="shared" si="47"/>
        <v>24</v>
      </c>
      <c r="L280" s="275">
        <f t="shared" si="47"/>
        <v>0</v>
      </c>
      <c r="M280" s="275">
        <f t="shared" si="47"/>
        <v>24</v>
      </c>
      <c r="N280" s="275">
        <f t="shared" si="47"/>
        <v>24</v>
      </c>
      <c r="O280" s="187"/>
    </row>
    <row r="281" spans="1:15" s="156" customFormat="1" ht="54" x14ac:dyDescent="0.35">
      <c r="A281" s="151"/>
      <c r="B281" s="290" t="s">
        <v>57</v>
      </c>
      <c r="C281" s="321" t="s">
        <v>491</v>
      </c>
      <c r="D281" s="312" t="s">
        <v>39</v>
      </c>
      <c r="E281" s="312" t="s">
        <v>73</v>
      </c>
      <c r="F281" s="652" t="s">
        <v>41</v>
      </c>
      <c r="G281" s="653" t="s">
        <v>32</v>
      </c>
      <c r="H281" s="653" t="s">
        <v>54</v>
      </c>
      <c r="I281" s="654" t="s">
        <v>543</v>
      </c>
      <c r="J281" s="312" t="s">
        <v>58</v>
      </c>
      <c r="K281" s="275">
        <v>24</v>
      </c>
      <c r="L281" s="33">
        <f>M281-K281</f>
        <v>0</v>
      </c>
      <c r="M281" s="275">
        <v>24</v>
      </c>
      <c r="N281" s="275">
        <v>24</v>
      </c>
      <c r="O281" s="187"/>
    </row>
    <row r="282" spans="1:15" s="156" customFormat="1" ht="36" x14ac:dyDescent="0.35">
      <c r="A282" s="151"/>
      <c r="B282" s="290" t="s">
        <v>554</v>
      </c>
      <c r="C282" s="321" t="s">
        <v>491</v>
      </c>
      <c r="D282" s="312" t="s">
        <v>39</v>
      </c>
      <c r="E282" s="312" t="s">
        <v>73</v>
      </c>
      <c r="F282" s="652" t="s">
        <v>41</v>
      </c>
      <c r="G282" s="653" t="s">
        <v>32</v>
      </c>
      <c r="H282" s="653" t="s">
        <v>67</v>
      </c>
      <c r="I282" s="567" t="s">
        <v>46</v>
      </c>
      <c r="J282" s="109"/>
      <c r="K282" s="275">
        <f t="shared" ref="K282:N283" si="48">K283</f>
        <v>105.8</v>
      </c>
      <c r="L282" s="275">
        <f t="shared" si="48"/>
        <v>0</v>
      </c>
      <c r="M282" s="275">
        <f t="shared" si="48"/>
        <v>105.8</v>
      </c>
      <c r="N282" s="275">
        <f t="shared" si="48"/>
        <v>105.8</v>
      </c>
      <c r="O282" s="187"/>
    </row>
    <row r="283" spans="1:15" s="156" customFormat="1" ht="36" x14ac:dyDescent="0.35">
      <c r="A283" s="151"/>
      <c r="B283" s="290" t="s">
        <v>129</v>
      </c>
      <c r="C283" s="321" t="s">
        <v>491</v>
      </c>
      <c r="D283" s="312" t="s">
        <v>39</v>
      </c>
      <c r="E283" s="312" t="s">
        <v>73</v>
      </c>
      <c r="F283" s="652" t="s">
        <v>41</v>
      </c>
      <c r="G283" s="653" t="s">
        <v>32</v>
      </c>
      <c r="H283" s="653" t="s">
        <v>67</v>
      </c>
      <c r="I283" s="567" t="s">
        <v>92</v>
      </c>
      <c r="J283" s="109"/>
      <c r="K283" s="275">
        <f t="shared" si="48"/>
        <v>105.8</v>
      </c>
      <c r="L283" s="275">
        <f t="shared" si="48"/>
        <v>0</v>
      </c>
      <c r="M283" s="275">
        <f t="shared" si="48"/>
        <v>105.8</v>
      </c>
      <c r="N283" s="275">
        <f t="shared" si="48"/>
        <v>105.8</v>
      </c>
      <c r="O283" s="187"/>
    </row>
    <row r="284" spans="1:15" s="156" customFormat="1" ht="54" x14ac:dyDescent="0.35">
      <c r="A284" s="151"/>
      <c r="B284" s="290" t="s">
        <v>57</v>
      </c>
      <c r="C284" s="321" t="s">
        <v>491</v>
      </c>
      <c r="D284" s="312" t="s">
        <v>39</v>
      </c>
      <c r="E284" s="312" t="s">
        <v>73</v>
      </c>
      <c r="F284" s="652" t="s">
        <v>41</v>
      </c>
      <c r="G284" s="653" t="s">
        <v>32</v>
      </c>
      <c r="H284" s="653" t="s">
        <v>67</v>
      </c>
      <c r="I284" s="567" t="s">
        <v>92</v>
      </c>
      <c r="J284" s="109" t="s">
        <v>58</v>
      </c>
      <c r="K284" s="275">
        <v>105.8</v>
      </c>
      <c r="L284" s="33">
        <f>M284-K284</f>
        <v>0</v>
      </c>
      <c r="M284" s="275">
        <v>105.8</v>
      </c>
      <c r="N284" s="275">
        <v>105.8</v>
      </c>
      <c r="O284" s="187"/>
    </row>
    <row r="285" spans="1:15" s="157" customFormat="1" ht="18" x14ac:dyDescent="0.35">
      <c r="A285" s="18"/>
      <c r="B285" s="31" t="s">
        <v>181</v>
      </c>
      <c r="C285" s="32" t="s">
        <v>491</v>
      </c>
      <c r="D285" s="17" t="s">
        <v>226</v>
      </c>
      <c r="E285" s="17"/>
      <c r="F285" s="659"/>
      <c r="G285" s="660"/>
      <c r="H285" s="660"/>
      <c r="I285" s="661"/>
      <c r="J285" s="17"/>
      <c r="K285" s="33">
        <f>K286+K308+K382+K353+K374</f>
        <v>1017473.8000000002</v>
      </c>
      <c r="L285" s="33">
        <f>L286+L308+L382+L353+L374</f>
        <v>0</v>
      </c>
      <c r="M285" s="33">
        <f>M286+M308+M382+M353+M374</f>
        <v>1017473.8000000002</v>
      </c>
      <c r="N285" s="33">
        <f>N286+N308+N382+N353+N374</f>
        <v>1092621.8999999999</v>
      </c>
      <c r="O285" s="188"/>
    </row>
    <row r="286" spans="1:15" s="156" customFormat="1" ht="18" x14ac:dyDescent="0.35">
      <c r="A286" s="18"/>
      <c r="B286" s="31" t="s">
        <v>183</v>
      </c>
      <c r="C286" s="32" t="s">
        <v>491</v>
      </c>
      <c r="D286" s="17" t="s">
        <v>226</v>
      </c>
      <c r="E286" s="17" t="s">
        <v>39</v>
      </c>
      <c r="F286" s="659"/>
      <c r="G286" s="660"/>
      <c r="H286" s="660"/>
      <c r="I286" s="661"/>
      <c r="J286" s="17"/>
      <c r="K286" s="33">
        <f>K287+K298+K303</f>
        <v>330062</v>
      </c>
      <c r="L286" s="33">
        <f>L287+L298+L303</f>
        <v>0</v>
      </c>
      <c r="M286" s="33">
        <f>M287+M298+M303</f>
        <v>330062</v>
      </c>
      <c r="N286" s="33">
        <f>N287+N298+N303</f>
        <v>338318.30000000005</v>
      </c>
    </row>
    <row r="287" spans="1:15" s="156" customFormat="1" ht="54" x14ac:dyDescent="0.35">
      <c r="A287" s="18"/>
      <c r="B287" s="31" t="s">
        <v>207</v>
      </c>
      <c r="C287" s="32" t="s">
        <v>491</v>
      </c>
      <c r="D287" s="17" t="s">
        <v>226</v>
      </c>
      <c r="E287" s="17" t="s">
        <v>39</v>
      </c>
      <c r="F287" s="659" t="s">
        <v>41</v>
      </c>
      <c r="G287" s="660" t="s">
        <v>44</v>
      </c>
      <c r="H287" s="660" t="s">
        <v>45</v>
      </c>
      <c r="I287" s="661" t="s">
        <v>46</v>
      </c>
      <c r="J287" s="17"/>
      <c r="K287" s="33">
        <f t="shared" ref="K287:N288" si="49">K288</f>
        <v>329380.3</v>
      </c>
      <c r="L287" s="33">
        <f t="shared" si="49"/>
        <v>0</v>
      </c>
      <c r="M287" s="33">
        <f t="shared" si="49"/>
        <v>329380.3</v>
      </c>
      <c r="N287" s="33">
        <f t="shared" si="49"/>
        <v>338264.9</v>
      </c>
    </row>
    <row r="288" spans="1:15" s="156" customFormat="1" ht="36" x14ac:dyDescent="0.35">
      <c r="A288" s="18"/>
      <c r="B288" s="31" t="s">
        <v>208</v>
      </c>
      <c r="C288" s="32" t="s">
        <v>491</v>
      </c>
      <c r="D288" s="17" t="s">
        <v>226</v>
      </c>
      <c r="E288" s="17" t="s">
        <v>39</v>
      </c>
      <c r="F288" s="659" t="s">
        <v>41</v>
      </c>
      <c r="G288" s="660" t="s">
        <v>47</v>
      </c>
      <c r="H288" s="660" t="s">
        <v>45</v>
      </c>
      <c r="I288" s="661" t="s">
        <v>46</v>
      </c>
      <c r="J288" s="17"/>
      <c r="K288" s="33">
        <f>K289</f>
        <v>329380.3</v>
      </c>
      <c r="L288" s="33">
        <f>L289</f>
        <v>0</v>
      </c>
      <c r="M288" s="33">
        <f>M289</f>
        <v>329380.3</v>
      </c>
      <c r="N288" s="33">
        <f t="shared" si="49"/>
        <v>338264.9</v>
      </c>
    </row>
    <row r="289" spans="1:14" s="156" customFormat="1" ht="36" x14ac:dyDescent="0.35">
      <c r="A289" s="18"/>
      <c r="B289" s="31" t="s">
        <v>269</v>
      </c>
      <c r="C289" s="32" t="s">
        <v>491</v>
      </c>
      <c r="D289" s="17" t="s">
        <v>226</v>
      </c>
      <c r="E289" s="17" t="s">
        <v>39</v>
      </c>
      <c r="F289" s="659" t="s">
        <v>41</v>
      </c>
      <c r="G289" s="660" t="s">
        <v>47</v>
      </c>
      <c r="H289" s="660" t="s">
        <v>39</v>
      </c>
      <c r="I289" s="661" t="s">
        <v>46</v>
      </c>
      <c r="J289" s="17"/>
      <c r="K289" s="33">
        <f>K294+K292+K296+K290</f>
        <v>329380.3</v>
      </c>
      <c r="L289" s="33">
        <f>L294+L292+L296+L290</f>
        <v>0</v>
      </c>
      <c r="M289" s="33">
        <f>M294+M292+M296+M290</f>
        <v>329380.3</v>
      </c>
      <c r="N289" s="33">
        <f>N294+N292+N296+N290</f>
        <v>338264.9</v>
      </c>
    </row>
    <row r="290" spans="1:14" s="152" customFormat="1" ht="36" x14ac:dyDescent="0.35">
      <c r="A290" s="18"/>
      <c r="B290" s="112" t="s">
        <v>540</v>
      </c>
      <c r="C290" s="32" t="s">
        <v>491</v>
      </c>
      <c r="D290" s="17" t="s">
        <v>226</v>
      </c>
      <c r="E290" s="17" t="s">
        <v>39</v>
      </c>
      <c r="F290" s="659" t="s">
        <v>41</v>
      </c>
      <c r="G290" s="660" t="s">
        <v>47</v>
      </c>
      <c r="H290" s="660" t="s">
        <v>39</v>
      </c>
      <c r="I290" s="661" t="s">
        <v>93</v>
      </c>
      <c r="J290" s="17"/>
      <c r="K290" s="33">
        <f>K291</f>
        <v>88673.2</v>
      </c>
      <c r="L290" s="33">
        <f>L291</f>
        <v>0</v>
      </c>
      <c r="M290" s="33">
        <f>M291</f>
        <v>88673.2</v>
      </c>
      <c r="N290" s="33">
        <f>N291</f>
        <v>97540.6</v>
      </c>
    </row>
    <row r="291" spans="1:14" s="152" customFormat="1" ht="54" x14ac:dyDescent="0.35">
      <c r="A291" s="18"/>
      <c r="B291" s="31" t="s">
        <v>78</v>
      </c>
      <c r="C291" s="32" t="s">
        <v>491</v>
      </c>
      <c r="D291" s="17" t="s">
        <v>226</v>
      </c>
      <c r="E291" s="17" t="s">
        <v>39</v>
      </c>
      <c r="F291" s="659" t="s">
        <v>41</v>
      </c>
      <c r="G291" s="660" t="s">
        <v>47</v>
      </c>
      <c r="H291" s="660" t="s">
        <v>39</v>
      </c>
      <c r="I291" s="661" t="s">
        <v>93</v>
      </c>
      <c r="J291" s="17" t="s">
        <v>79</v>
      </c>
      <c r="K291" s="33">
        <v>88673.2</v>
      </c>
      <c r="L291" s="33">
        <f>M291-K291</f>
        <v>0</v>
      </c>
      <c r="M291" s="33">
        <v>88673.2</v>
      </c>
      <c r="N291" s="33">
        <v>97540.6</v>
      </c>
    </row>
    <row r="292" spans="1:14" s="152" customFormat="1" ht="54" x14ac:dyDescent="0.35">
      <c r="A292" s="18"/>
      <c r="B292" s="31" t="s">
        <v>209</v>
      </c>
      <c r="C292" s="32" t="s">
        <v>491</v>
      </c>
      <c r="D292" s="17" t="s">
        <v>226</v>
      </c>
      <c r="E292" s="17" t="s">
        <v>39</v>
      </c>
      <c r="F292" s="659" t="s">
        <v>41</v>
      </c>
      <c r="G292" s="660" t="s">
        <v>47</v>
      </c>
      <c r="H292" s="660" t="s">
        <v>39</v>
      </c>
      <c r="I292" s="661" t="s">
        <v>275</v>
      </c>
      <c r="J292" s="17"/>
      <c r="K292" s="33">
        <f>K293</f>
        <v>25889.5</v>
      </c>
      <c r="L292" s="33">
        <f>L293</f>
        <v>0</v>
      </c>
      <c r="M292" s="33">
        <f>M293</f>
        <v>25889.5</v>
      </c>
      <c r="N292" s="33">
        <f>N293</f>
        <v>25889.5</v>
      </c>
    </row>
    <row r="293" spans="1:14" s="152" customFormat="1" ht="54" x14ac:dyDescent="0.35">
      <c r="A293" s="18"/>
      <c r="B293" s="31" t="s">
        <v>78</v>
      </c>
      <c r="C293" s="32" t="s">
        <v>491</v>
      </c>
      <c r="D293" s="17" t="s">
        <v>226</v>
      </c>
      <c r="E293" s="17" t="s">
        <v>39</v>
      </c>
      <c r="F293" s="659" t="s">
        <v>41</v>
      </c>
      <c r="G293" s="660" t="s">
        <v>47</v>
      </c>
      <c r="H293" s="660" t="s">
        <v>39</v>
      </c>
      <c r="I293" s="661" t="s">
        <v>275</v>
      </c>
      <c r="J293" s="17" t="s">
        <v>79</v>
      </c>
      <c r="K293" s="33">
        <f>25093.2+796.3</f>
        <v>25889.5</v>
      </c>
      <c r="L293" s="33">
        <f>M293-K293</f>
        <v>0</v>
      </c>
      <c r="M293" s="33">
        <f>25093.2+796.3</f>
        <v>25889.5</v>
      </c>
      <c r="N293" s="33">
        <f>25093.2+796.3</f>
        <v>25889.5</v>
      </c>
    </row>
    <row r="294" spans="1:14" s="156" customFormat="1" ht="180" x14ac:dyDescent="0.35">
      <c r="A294" s="18"/>
      <c r="B294" s="31" t="s">
        <v>270</v>
      </c>
      <c r="C294" s="32" t="s">
        <v>491</v>
      </c>
      <c r="D294" s="17" t="s">
        <v>226</v>
      </c>
      <c r="E294" s="17" t="s">
        <v>39</v>
      </c>
      <c r="F294" s="659" t="s">
        <v>41</v>
      </c>
      <c r="G294" s="660" t="s">
        <v>47</v>
      </c>
      <c r="H294" s="660" t="s">
        <v>39</v>
      </c>
      <c r="I294" s="661" t="s">
        <v>271</v>
      </c>
      <c r="J294" s="17"/>
      <c r="K294" s="33">
        <f>K295</f>
        <v>571.29999999999995</v>
      </c>
      <c r="L294" s="33">
        <f>L295</f>
        <v>0</v>
      </c>
      <c r="M294" s="33">
        <f>M295</f>
        <v>571.29999999999995</v>
      </c>
      <c r="N294" s="33">
        <f>N295</f>
        <v>588.5</v>
      </c>
    </row>
    <row r="295" spans="1:14" s="156" customFormat="1" ht="54" x14ac:dyDescent="0.35">
      <c r="A295" s="18"/>
      <c r="B295" s="31" t="s">
        <v>78</v>
      </c>
      <c r="C295" s="32" t="s">
        <v>491</v>
      </c>
      <c r="D295" s="17" t="s">
        <v>226</v>
      </c>
      <c r="E295" s="17" t="s">
        <v>39</v>
      </c>
      <c r="F295" s="659" t="s">
        <v>41</v>
      </c>
      <c r="G295" s="660" t="s">
        <v>47</v>
      </c>
      <c r="H295" s="660" t="s">
        <v>39</v>
      </c>
      <c r="I295" s="661" t="s">
        <v>271</v>
      </c>
      <c r="J295" s="17" t="s">
        <v>79</v>
      </c>
      <c r="K295" s="33">
        <v>571.29999999999995</v>
      </c>
      <c r="L295" s="33">
        <f>M295-K295</f>
        <v>0</v>
      </c>
      <c r="M295" s="33">
        <v>571.29999999999995</v>
      </c>
      <c r="N295" s="33">
        <v>588.5</v>
      </c>
    </row>
    <row r="296" spans="1:14" s="156" customFormat="1" ht="108" x14ac:dyDescent="0.35">
      <c r="A296" s="18"/>
      <c r="B296" s="31" t="s">
        <v>354</v>
      </c>
      <c r="C296" s="32" t="s">
        <v>491</v>
      </c>
      <c r="D296" s="17" t="s">
        <v>226</v>
      </c>
      <c r="E296" s="17" t="s">
        <v>39</v>
      </c>
      <c r="F296" s="659" t="s">
        <v>41</v>
      </c>
      <c r="G296" s="660" t="s">
        <v>47</v>
      </c>
      <c r="H296" s="660" t="s">
        <v>39</v>
      </c>
      <c r="I296" s="661" t="s">
        <v>272</v>
      </c>
      <c r="J296" s="17"/>
      <c r="K296" s="33">
        <f>K297</f>
        <v>214246.3</v>
      </c>
      <c r="L296" s="33">
        <f>L297</f>
        <v>0</v>
      </c>
      <c r="M296" s="33">
        <f>M297</f>
        <v>214246.3</v>
      </c>
      <c r="N296" s="33">
        <f>N297</f>
        <v>214246.3</v>
      </c>
    </row>
    <row r="297" spans="1:14" s="156" customFormat="1" ht="54" x14ac:dyDescent="0.35">
      <c r="A297" s="18"/>
      <c r="B297" s="31" t="s">
        <v>78</v>
      </c>
      <c r="C297" s="32" t="s">
        <v>491</v>
      </c>
      <c r="D297" s="17" t="s">
        <v>226</v>
      </c>
      <c r="E297" s="17" t="s">
        <v>39</v>
      </c>
      <c r="F297" s="659" t="s">
        <v>41</v>
      </c>
      <c r="G297" s="660" t="s">
        <v>47</v>
      </c>
      <c r="H297" s="660" t="s">
        <v>39</v>
      </c>
      <c r="I297" s="661" t="s">
        <v>272</v>
      </c>
      <c r="J297" s="17" t="s">
        <v>79</v>
      </c>
      <c r="K297" s="33">
        <v>214246.3</v>
      </c>
      <c r="L297" s="33">
        <f>M297-K297</f>
        <v>0</v>
      </c>
      <c r="M297" s="33">
        <v>214246.3</v>
      </c>
      <c r="N297" s="33">
        <v>214246.3</v>
      </c>
    </row>
    <row r="298" spans="1:14" s="156" customFormat="1" ht="60" customHeight="1" x14ac:dyDescent="0.35">
      <c r="A298" s="18"/>
      <c r="B298" s="31" t="s">
        <v>82</v>
      </c>
      <c r="C298" s="32" t="s">
        <v>491</v>
      </c>
      <c r="D298" s="17" t="s">
        <v>226</v>
      </c>
      <c r="E298" s="17" t="s">
        <v>39</v>
      </c>
      <c r="F298" s="659" t="s">
        <v>83</v>
      </c>
      <c r="G298" s="660" t="s">
        <v>44</v>
      </c>
      <c r="H298" s="660" t="s">
        <v>45</v>
      </c>
      <c r="I298" s="661" t="s">
        <v>46</v>
      </c>
      <c r="J298" s="17"/>
      <c r="K298" s="33">
        <f t="shared" ref="K298:N301" si="50">K299</f>
        <v>628.29999999999995</v>
      </c>
      <c r="L298" s="33">
        <f t="shared" si="50"/>
        <v>0</v>
      </c>
      <c r="M298" s="33">
        <f t="shared" si="50"/>
        <v>628.29999999999995</v>
      </c>
      <c r="N298" s="33">
        <f>N299</f>
        <v>0</v>
      </c>
    </row>
    <row r="299" spans="1:14" s="156" customFormat="1" ht="36" x14ac:dyDescent="0.35">
      <c r="A299" s="18"/>
      <c r="B299" s="31" t="s">
        <v>127</v>
      </c>
      <c r="C299" s="32" t="s">
        <v>491</v>
      </c>
      <c r="D299" s="17" t="s">
        <v>226</v>
      </c>
      <c r="E299" s="17" t="s">
        <v>39</v>
      </c>
      <c r="F299" s="659" t="s">
        <v>83</v>
      </c>
      <c r="G299" s="660" t="s">
        <v>91</v>
      </c>
      <c r="H299" s="660" t="s">
        <v>45</v>
      </c>
      <c r="I299" s="661" t="s">
        <v>46</v>
      </c>
      <c r="J299" s="17"/>
      <c r="K299" s="33">
        <f t="shared" si="50"/>
        <v>628.29999999999995</v>
      </c>
      <c r="L299" s="33">
        <f t="shared" si="50"/>
        <v>0</v>
      </c>
      <c r="M299" s="33">
        <f t="shared" si="50"/>
        <v>628.29999999999995</v>
      </c>
      <c r="N299" s="33">
        <f t="shared" si="50"/>
        <v>0</v>
      </c>
    </row>
    <row r="300" spans="1:14" s="156" customFormat="1" ht="41.25" customHeight="1" x14ac:dyDescent="0.35">
      <c r="A300" s="18"/>
      <c r="B300" s="31" t="s">
        <v>273</v>
      </c>
      <c r="C300" s="32" t="s">
        <v>491</v>
      </c>
      <c r="D300" s="17" t="s">
        <v>226</v>
      </c>
      <c r="E300" s="17" t="s">
        <v>39</v>
      </c>
      <c r="F300" s="659" t="s">
        <v>83</v>
      </c>
      <c r="G300" s="660" t="s">
        <v>91</v>
      </c>
      <c r="H300" s="660" t="s">
        <v>39</v>
      </c>
      <c r="I300" s="661" t="s">
        <v>46</v>
      </c>
      <c r="J300" s="17"/>
      <c r="K300" s="33">
        <f t="shared" si="50"/>
        <v>628.29999999999995</v>
      </c>
      <c r="L300" s="33">
        <f t="shared" si="50"/>
        <v>0</v>
      </c>
      <c r="M300" s="33">
        <f t="shared" si="50"/>
        <v>628.29999999999995</v>
      </c>
      <c r="N300" s="33">
        <f t="shared" si="50"/>
        <v>0</v>
      </c>
    </row>
    <row r="301" spans="1:14" s="156" customFormat="1" ht="18" x14ac:dyDescent="0.35">
      <c r="A301" s="18"/>
      <c r="B301" s="31" t="s">
        <v>497</v>
      </c>
      <c r="C301" s="32" t="s">
        <v>491</v>
      </c>
      <c r="D301" s="17" t="s">
        <v>226</v>
      </c>
      <c r="E301" s="17" t="s">
        <v>39</v>
      </c>
      <c r="F301" s="659" t="s">
        <v>83</v>
      </c>
      <c r="G301" s="660" t="s">
        <v>91</v>
      </c>
      <c r="H301" s="660" t="s">
        <v>39</v>
      </c>
      <c r="I301" s="661" t="s">
        <v>498</v>
      </c>
      <c r="J301" s="17"/>
      <c r="K301" s="33">
        <f t="shared" si="50"/>
        <v>628.29999999999995</v>
      </c>
      <c r="L301" s="33">
        <f t="shared" si="50"/>
        <v>0</v>
      </c>
      <c r="M301" s="33">
        <f t="shared" si="50"/>
        <v>628.29999999999995</v>
      </c>
      <c r="N301" s="33">
        <f t="shared" si="50"/>
        <v>0</v>
      </c>
    </row>
    <row r="302" spans="1:14" s="156" customFormat="1" ht="54" x14ac:dyDescent="0.35">
      <c r="A302" s="18"/>
      <c r="B302" s="31" t="s">
        <v>78</v>
      </c>
      <c r="C302" s="32" t="s">
        <v>491</v>
      </c>
      <c r="D302" s="17" t="s">
        <v>226</v>
      </c>
      <c r="E302" s="17" t="s">
        <v>39</v>
      </c>
      <c r="F302" s="659" t="s">
        <v>83</v>
      </c>
      <c r="G302" s="660" t="s">
        <v>91</v>
      </c>
      <c r="H302" s="660" t="s">
        <v>39</v>
      </c>
      <c r="I302" s="661" t="s">
        <v>498</v>
      </c>
      <c r="J302" s="17" t="s">
        <v>79</v>
      </c>
      <c r="K302" s="33">
        <v>628.29999999999995</v>
      </c>
      <c r="L302" s="33">
        <f>M302-K302</f>
        <v>0</v>
      </c>
      <c r="M302" s="33">
        <v>628.29999999999995</v>
      </c>
      <c r="N302" s="33">
        <v>0</v>
      </c>
    </row>
    <row r="303" spans="1:14" s="156" customFormat="1" ht="54" x14ac:dyDescent="0.35">
      <c r="A303" s="18"/>
      <c r="B303" s="31" t="s">
        <v>235</v>
      </c>
      <c r="C303" s="32" t="s">
        <v>491</v>
      </c>
      <c r="D303" s="17" t="s">
        <v>226</v>
      </c>
      <c r="E303" s="17" t="s">
        <v>39</v>
      </c>
      <c r="F303" s="659" t="s">
        <v>236</v>
      </c>
      <c r="G303" s="660" t="s">
        <v>44</v>
      </c>
      <c r="H303" s="660" t="s">
        <v>45</v>
      </c>
      <c r="I303" s="661" t="s">
        <v>46</v>
      </c>
      <c r="J303" s="17"/>
      <c r="K303" s="33">
        <f t="shared" ref="K303:N306" si="51">K304</f>
        <v>53.4</v>
      </c>
      <c r="L303" s="33">
        <f t="shared" si="51"/>
        <v>0</v>
      </c>
      <c r="M303" s="33">
        <f t="shared" si="51"/>
        <v>53.4</v>
      </c>
      <c r="N303" s="33">
        <f t="shared" si="51"/>
        <v>53.4</v>
      </c>
    </row>
    <row r="304" spans="1:14" s="156" customFormat="1" ht="36" x14ac:dyDescent="0.35">
      <c r="A304" s="18"/>
      <c r="B304" s="31" t="s">
        <v>345</v>
      </c>
      <c r="C304" s="32" t="s">
        <v>491</v>
      </c>
      <c r="D304" s="17" t="s">
        <v>226</v>
      </c>
      <c r="E304" s="17" t="s">
        <v>39</v>
      </c>
      <c r="F304" s="659" t="s">
        <v>236</v>
      </c>
      <c r="G304" s="660" t="s">
        <v>47</v>
      </c>
      <c r="H304" s="660" t="s">
        <v>45</v>
      </c>
      <c r="I304" s="661" t="s">
        <v>46</v>
      </c>
      <c r="J304" s="17"/>
      <c r="K304" s="33">
        <f t="shared" si="51"/>
        <v>53.4</v>
      </c>
      <c r="L304" s="33">
        <f t="shared" si="51"/>
        <v>0</v>
      </c>
      <c r="M304" s="33">
        <f t="shared" si="51"/>
        <v>53.4</v>
      </c>
      <c r="N304" s="33">
        <f t="shared" si="51"/>
        <v>53.4</v>
      </c>
    </row>
    <row r="305" spans="1:14" s="156" customFormat="1" ht="72" x14ac:dyDescent="0.35">
      <c r="A305" s="18"/>
      <c r="B305" s="31" t="s">
        <v>288</v>
      </c>
      <c r="C305" s="32" t="s">
        <v>491</v>
      </c>
      <c r="D305" s="17" t="s">
        <v>226</v>
      </c>
      <c r="E305" s="17" t="s">
        <v>39</v>
      </c>
      <c r="F305" s="659" t="s">
        <v>236</v>
      </c>
      <c r="G305" s="660" t="s">
        <v>47</v>
      </c>
      <c r="H305" s="660" t="s">
        <v>39</v>
      </c>
      <c r="I305" s="661" t="s">
        <v>46</v>
      </c>
      <c r="J305" s="17"/>
      <c r="K305" s="33">
        <f>K306</f>
        <v>53.4</v>
      </c>
      <c r="L305" s="33">
        <f>L306</f>
        <v>0</v>
      </c>
      <c r="M305" s="33">
        <f>M306</f>
        <v>53.4</v>
      </c>
      <c r="N305" s="33">
        <f>N306</f>
        <v>53.4</v>
      </c>
    </row>
    <row r="306" spans="1:14" s="156" customFormat="1" ht="36" x14ac:dyDescent="0.35">
      <c r="A306" s="18"/>
      <c r="B306" s="31" t="s">
        <v>237</v>
      </c>
      <c r="C306" s="32" t="s">
        <v>491</v>
      </c>
      <c r="D306" s="17" t="s">
        <v>226</v>
      </c>
      <c r="E306" s="17" t="s">
        <v>39</v>
      </c>
      <c r="F306" s="659" t="s">
        <v>236</v>
      </c>
      <c r="G306" s="660" t="s">
        <v>47</v>
      </c>
      <c r="H306" s="660" t="s">
        <v>39</v>
      </c>
      <c r="I306" s="661" t="s">
        <v>282</v>
      </c>
      <c r="J306" s="17"/>
      <c r="K306" s="33">
        <f t="shared" si="51"/>
        <v>53.4</v>
      </c>
      <c r="L306" s="33">
        <f t="shared" si="51"/>
        <v>0</v>
      </c>
      <c r="M306" s="33">
        <f t="shared" si="51"/>
        <v>53.4</v>
      </c>
      <c r="N306" s="33">
        <f t="shared" si="51"/>
        <v>53.4</v>
      </c>
    </row>
    <row r="307" spans="1:14" s="156" customFormat="1" ht="54" x14ac:dyDescent="0.35">
      <c r="A307" s="18"/>
      <c r="B307" s="31" t="s">
        <v>78</v>
      </c>
      <c r="C307" s="32" t="s">
        <v>491</v>
      </c>
      <c r="D307" s="17" t="s">
        <v>226</v>
      </c>
      <c r="E307" s="17" t="s">
        <v>39</v>
      </c>
      <c r="F307" s="659" t="s">
        <v>236</v>
      </c>
      <c r="G307" s="660" t="s">
        <v>47</v>
      </c>
      <c r="H307" s="660" t="s">
        <v>39</v>
      </c>
      <c r="I307" s="661" t="s">
        <v>282</v>
      </c>
      <c r="J307" s="17" t="s">
        <v>79</v>
      </c>
      <c r="K307" s="33">
        <v>53.4</v>
      </c>
      <c r="L307" s="33">
        <f>M307-K307</f>
        <v>0</v>
      </c>
      <c r="M307" s="33">
        <v>53.4</v>
      </c>
      <c r="N307" s="33">
        <v>53.4</v>
      </c>
    </row>
    <row r="308" spans="1:14" s="156" customFormat="1" ht="18" x14ac:dyDescent="0.35">
      <c r="A308" s="18"/>
      <c r="B308" s="31" t="s">
        <v>185</v>
      </c>
      <c r="C308" s="32" t="s">
        <v>491</v>
      </c>
      <c r="D308" s="17" t="s">
        <v>226</v>
      </c>
      <c r="E308" s="17" t="s">
        <v>41</v>
      </c>
      <c r="F308" s="659"/>
      <c r="G308" s="660"/>
      <c r="H308" s="660"/>
      <c r="I308" s="661"/>
      <c r="J308" s="17"/>
      <c r="K308" s="33">
        <f>K309</f>
        <v>600280.80000000016</v>
      </c>
      <c r="L308" s="33">
        <f>L309</f>
        <v>0</v>
      </c>
      <c r="M308" s="33">
        <f>M309</f>
        <v>600280.80000000016</v>
      </c>
      <c r="N308" s="33">
        <f>N309</f>
        <v>614556.79999999993</v>
      </c>
    </row>
    <row r="309" spans="1:14" s="156" customFormat="1" ht="54" x14ac:dyDescent="0.35">
      <c r="A309" s="18"/>
      <c r="B309" s="31" t="s">
        <v>207</v>
      </c>
      <c r="C309" s="32" t="s">
        <v>491</v>
      </c>
      <c r="D309" s="17" t="s">
        <v>226</v>
      </c>
      <c r="E309" s="17" t="s">
        <v>41</v>
      </c>
      <c r="F309" s="659" t="s">
        <v>41</v>
      </c>
      <c r="G309" s="660" t="s">
        <v>44</v>
      </c>
      <c r="H309" s="660" t="s">
        <v>45</v>
      </c>
      <c r="I309" s="661" t="s">
        <v>46</v>
      </c>
      <c r="J309" s="17"/>
      <c r="K309" s="33">
        <f>K310+K349</f>
        <v>600280.80000000016</v>
      </c>
      <c r="L309" s="33">
        <f>L310+L349</f>
        <v>0</v>
      </c>
      <c r="M309" s="33">
        <f>M310+M349</f>
        <v>600280.80000000016</v>
      </c>
      <c r="N309" s="33">
        <f>N310+N349</f>
        <v>614556.79999999993</v>
      </c>
    </row>
    <row r="310" spans="1:14" s="156" customFormat="1" ht="36" x14ac:dyDescent="0.35">
      <c r="A310" s="18"/>
      <c r="B310" s="31" t="s">
        <v>208</v>
      </c>
      <c r="C310" s="32" t="s">
        <v>491</v>
      </c>
      <c r="D310" s="17" t="s">
        <v>226</v>
      </c>
      <c r="E310" s="17" t="s">
        <v>41</v>
      </c>
      <c r="F310" s="659" t="s">
        <v>41</v>
      </c>
      <c r="G310" s="660" t="s">
        <v>47</v>
      </c>
      <c r="H310" s="660" t="s">
        <v>45</v>
      </c>
      <c r="I310" s="661" t="s">
        <v>46</v>
      </c>
      <c r="J310" s="17"/>
      <c r="K310" s="33">
        <f>K311</f>
        <v>597986.00000000012</v>
      </c>
      <c r="L310" s="33">
        <f>L311</f>
        <v>0</v>
      </c>
      <c r="M310" s="33">
        <f>M311</f>
        <v>597986.00000000012</v>
      </c>
      <c r="N310" s="33">
        <f>N311</f>
        <v>612261.99999999988</v>
      </c>
    </row>
    <row r="311" spans="1:14" s="156" customFormat="1" ht="18" x14ac:dyDescent="0.35">
      <c r="A311" s="18"/>
      <c r="B311" s="31" t="s">
        <v>274</v>
      </c>
      <c r="C311" s="32" t="s">
        <v>491</v>
      </c>
      <c r="D311" s="17" t="s">
        <v>226</v>
      </c>
      <c r="E311" s="17" t="s">
        <v>41</v>
      </c>
      <c r="F311" s="659" t="s">
        <v>41</v>
      </c>
      <c r="G311" s="660" t="s">
        <v>47</v>
      </c>
      <c r="H311" s="660" t="s">
        <v>41</v>
      </c>
      <c r="I311" s="661" t="s">
        <v>46</v>
      </c>
      <c r="J311" s="17"/>
      <c r="K311" s="33">
        <f>K326+K330+K334+K312+K320+K340+K323+K317+K345+K337+K343</f>
        <v>597986.00000000012</v>
      </c>
      <c r="L311" s="33">
        <f>L326+L330+L334+L312+L320+L340+L323+L317+L345+L337+L343</f>
        <v>0</v>
      </c>
      <c r="M311" s="33">
        <f>M326+M330+M334+M312+M320+M340+M323+M317+M345+M337+M343</f>
        <v>597986.00000000012</v>
      </c>
      <c r="N311" s="33">
        <f>N326+N330+N334+N312+N320+N340+N323+N317+N345+N337+N343</f>
        <v>612261.99999999988</v>
      </c>
    </row>
    <row r="312" spans="1:14" s="152" customFormat="1" ht="36" x14ac:dyDescent="0.35">
      <c r="A312" s="18"/>
      <c r="B312" s="112" t="s">
        <v>540</v>
      </c>
      <c r="C312" s="32" t="s">
        <v>491</v>
      </c>
      <c r="D312" s="17" t="s">
        <v>226</v>
      </c>
      <c r="E312" s="17" t="s">
        <v>41</v>
      </c>
      <c r="F312" s="659" t="s">
        <v>41</v>
      </c>
      <c r="G312" s="660" t="s">
        <v>47</v>
      </c>
      <c r="H312" s="660" t="s">
        <v>41</v>
      </c>
      <c r="I312" s="661" t="s">
        <v>93</v>
      </c>
      <c r="J312" s="17"/>
      <c r="K312" s="33">
        <f>K315+K316+K314+K313</f>
        <v>63512.2</v>
      </c>
      <c r="L312" s="33">
        <f>L315+L316+L314+L313</f>
        <v>0</v>
      </c>
      <c r="M312" s="33">
        <f>M315+M316+M314+M313</f>
        <v>63512.2</v>
      </c>
      <c r="N312" s="33">
        <f>N315+N316+N314+N313</f>
        <v>69863.400000000009</v>
      </c>
    </row>
    <row r="313" spans="1:14" s="152" customFormat="1" ht="108" x14ac:dyDescent="0.35">
      <c r="A313" s="18"/>
      <c r="B313" s="31" t="s">
        <v>51</v>
      </c>
      <c r="C313" s="32" t="s">
        <v>491</v>
      </c>
      <c r="D313" s="17" t="s">
        <v>226</v>
      </c>
      <c r="E313" s="17" t="s">
        <v>41</v>
      </c>
      <c r="F313" s="659" t="s">
        <v>41</v>
      </c>
      <c r="G313" s="660" t="s">
        <v>47</v>
      </c>
      <c r="H313" s="660" t="s">
        <v>41</v>
      </c>
      <c r="I313" s="661" t="s">
        <v>93</v>
      </c>
      <c r="J313" s="17" t="s">
        <v>52</v>
      </c>
      <c r="K313" s="33">
        <v>319.10000000000002</v>
      </c>
      <c r="L313" s="33">
        <f>M313-K313</f>
        <v>0</v>
      </c>
      <c r="M313" s="33">
        <v>319.10000000000002</v>
      </c>
      <c r="N313" s="33">
        <v>319.10000000000002</v>
      </c>
    </row>
    <row r="314" spans="1:14" s="152" customFormat="1" ht="54" x14ac:dyDescent="0.35">
      <c r="A314" s="18"/>
      <c r="B314" s="31" t="s">
        <v>57</v>
      </c>
      <c r="C314" s="32" t="s">
        <v>491</v>
      </c>
      <c r="D314" s="17" t="s">
        <v>226</v>
      </c>
      <c r="E314" s="17" t="s">
        <v>41</v>
      </c>
      <c r="F314" s="659" t="s">
        <v>41</v>
      </c>
      <c r="G314" s="660" t="s">
        <v>47</v>
      </c>
      <c r="H314" s="660" t="s">
        <v>41</v>
      </c>
      <c r="I314" s="661" t="s">
        <v>93</v>
      </c>
      <c r="J314" s="17" t="s">
        <v>58</v>
      </c>
      <c r="K314" s="33">
        <v>4475.6000000000004</v>
      </c>
      <c r="L314" s="33">
        <f>M314-K314</f>
        <v>0</v>
      </c>
      <c r="M314" s="33">
        <v>4475.6000000000004</v>
      </c>
      <c r="N314" s="33">
        <v>5635.2</v>
      </c>
    </row>
    <row r="315" spans="1:14" s="152" customFormat="1" ht="54" x14ac:dyDescent="0.35">
      <c r="A315" s="18"/>
      <c r="B315" s="31" t="s">
        <v>78</v>
      </c>
      <c r="C315" s="32" t="s">
        <v>491</v>
      </c>
      <c r="D315" s="17" t="s">
        <v>226</v>
      </c>
      <c r="E315" s="17" t="s">
        <v>41</v>
      </c>
      <c r="F315" s="659" t="s">
        <v>41</v>
      </c>
      <c r="G315" s="660" t="s">
        <v>47</v>
      </c>
      <c r="H315" s="660" t="s">
        <v>41</v>
      </c>
      <c r="I315" s="661" t="s">
        <v>93</v>
      </c>
      <c r="J315" s="17" t="s">
        <v>79</v>
      </c>
      <c r="K315" s="33">
        <v>58156.5</v>
      </c>
      <c r="L315" s="33">
        <f>M315-K315</f>
        <v>0</v>
      </c>
      <c r="M315" s="33">
        <v>58156.5</v>
      </c>
      <c r="N315" s="33">
        <v>63353.5</v>
      </c>
    </row>
    <row r="316" spans="1:14" s="152" customFormat="1" ht="18" x14ac:dyDescent="0.35">
      <c r="A316" s="18"/>
      <c r="B316" s="31" t="s">
        <v>59</v>
      </c>
      <c r="C316" s="32" t="s">
        <v>491</v>
      </c>
      <c r="D316" s="17" t="s">
        <v>226</v>
      </c>
      <c r="E316" s="17" t="s">
        <v>41</v>
      </c>
      <c r="F316" s="659" t="s">
        <v>41</v>
      </c>
      <c r="G316" s="660" t="s">
        <v>47</v>
      </c>
      <c r="H316" s="660" t="s">
        <v>41</v>
      </c>
      <c r="I316" s="661" t="s">
        <v>93</v>
      </c>
      <c r="J316" s="17" t="s">
        <v>60</v>
      </c>
      <c r="K316" s="33">
        <v>561</v>
      </c>
      <c r="L316" s="33">
        <f>M316-K316</f>
        <v>0</v>
      </c>
      <c r="M316" s="33">
        <v>561</v>
      </c>
      <c r="N316" s="33">
        <v>555.6</v>
      </c>
    </row>
    <row r="317" spans="1:14" s="152" customFormat="1" ht="54" x14ac:dyDescent="0.35">
      <c r="A317" s="18"/>
      <c r="B317" s="31" t="s">
        <v>209</v>
      </c>
      <c r="C317" s="32" t="s">
        <v>491</v>
      </c>
      <c r="D317" s="17" t="s">
        <v>226</v>
      </c>
      <c r="E317" s="17" t="s">
        <v>41</v>
      </c>
      <c r="F317" s="659" t="s">
        <v>41</v>
      </c>
      <c r="G317" s="660" t="s">
        <v>47</v>
      </c>
      <c r="H317" s="660" t="s">
        <v>41</v>
      </c>
      <c r="I317" s="661" t="s">
        <v>275</v>
      </c>
      <c r="J317" s="17"/>
      <c r="K317" s="33">
        <f>K318+K319</f>
        <v>19606.299999999996</v>
      </c>
      <c r="L317" s="33">
        <f>L318+L319</f>
        <v>0</v>
      </c>
      <c r="M317" s="33">
        <f>M318+M319</f>
        <v>19606.299999999996</v>
      </c>
      <c r="N317" s="33">
        <f>N318+N319</f>
        <v>20406</v>
      </c>
    </row>
    <row r="318" spans="1:14" s="152" customFormat="1" ht="54" x14ac:dyDescent="0.35">
      <c r="A318" s="18"/>
      <c r="B318" s="31" t="s">
        <v>57</v>
      </c>
      <c r="C318" s="32" t="s">
        <v>491</v>
      </c>
      <c r="D318" s="17" t="s">
        <v>226</v>
      </c>
      <c r="E318" s="17" t="s">
        <v>41</v>
      </c>
      <c r="F318" s="659" t="s">
        <v>41</v>
      </c>
      <c r="G318" s="660" t="s">
        <v>47</v>
      </c>
      <c r="H318" s="660" t="s">
        <v>41</v>
      </c>
      <c r="I318" s="661" t="s">
        <v>275</v>
      </c>
      <c r="J318" s="17" t="s">
        <v>58</v>
      </c>
      <c r="K318" s="33">
        <f>3854.4-3854.4</f>
        <v>0</v>
      </c>
      <c r="L318" s="33">
        <f>M318-K318</f>
        <v>0</v>
      </c>
      <c r="M318" s="33">
        <f>3854.4-3854.4</f>
        <v>0</v>
      </c>
      <c r="N318" s="33">
        <f>3854.4</f>
        <v>3854.4</v>
      </c>
    </row>
    <row r="319" spans="1:14" s="152" customFormat="1" ht="54" x14ac:dyDescent="0.35">
      <c r="A319" s="18"/>
      <c r="B319" s="31" t="s">
        <v>78</v>
      </c>
      <c r="C319" s="32" t="s">
        <v>491</v>
      </c>
      <c r="D319" s="17" t="s">
        <v>226</v>
      </c>
      <c r="E319" s="17" t="s">
        <v>41</v>
      </c>
      <c r="F319" s="659" t="s">
        <v>41</v>
      </c>
      <c r="G319" s="660" t="s">
        <v>47</v>
      </c>
      <c r="H319" s="660" t="s">
        <v>41</v>
      </c>
      <c r="I319" s="661" t="s">
        <v>275</v>
      </c>
      <c r="J319" s="17" t="s">
        <v>79</v>
      </c>
      <c r="K319" s="33">
        <f>22162.8+244.6+956.1-3757.2</f>
        <v>19606.299999999996</v>
      </c>
      <c r="L319" s="33">
        <f>M319-K319</f>
        <v>0</v>
      </c>
      <c r="M319" s="33">
        <f>22162.8+244.6+956.1-3757.2</f>
        <v>19606.299999999996</v>
      </c>
      <c r="N319" s="33">
        <f>22162.8+244.6-5855.8</f>
        <v>16551.599999999999</v>
      </c>
    </row>
    <row r="320" spans="1:14" s="152" customFormat="1" ht="36" x14ac:dyDescent="0.35">
      <c r="A320" s="18"/>
      <c r="B320" s="31" t="s">
        <v>210</v>
      </c>
      <c r="C320" s="32" t="s">
        <v>491</v>
      </c>
      <c r="D320" s="17" t="s">
        <v>226</v>
      </c>
      <c r="E320" s="17" t="s">
        <v>41</v>
      </c>
      <c r="F320" s="659" t="s">
        <v>41</v>
      </c>
      <c r="G320" s="660" t="s">
        <v>47</v>
      </c>
      <c r="H320" s="660" t="s">
        <v>41</v>
      </c>
      <c r="I320" s="661" t="s">
        <v>276</v>
      </c>
      <c r="J320" s="17"/>
      <c r="K320" s="33">
        <f>K321+K322</f>
        <v>4618.1000000000004</v>
      </c>
      <c r="L320" s="33">
        <f>L321+L322</f>
        <v>0</v>
      </c>
      <c r="M320" s="33">
        <f>M321+M322</f>
        <v>4618.1000000000004</v>
      </c>
      <c r="N320" s="33">
        <f>N321+N322</f>
        <v>4618.1000000000004</v>
      </c>
    </row>
    <row r="321" spans="1:14" s="152" customFormat="1" ht="54" x14ac:dyDescent="0.35">
      <c r="A321" s="18"/>
      <c r="B321" s="31" t="s">
        <v>57</v>
      </c>
      <c r="C321" s="32" t="s">
        <v>491</v>
      </c>
      <c r="D321" s="17" t="s">
        <v>226</v>
      </c>
      <c r="E321" s="17" t="s">
        <v>41</v>
      </c>
      <c r="F321" s="659" t="s">
        <v>41</v>
      </c>
      <c r="G321" s="660" t="s">
        <v>47</v>
      </c>
      <c r="H321" s="660" t="s">
        <v>41</v>
      </c>
      <c r="I321" s="661" t="s">
        <v>276</v>
      </c>
      <c r="J321" s="17" t="s">
        <v>58</v>
      </c>
      <c r="K321" s="33">
        <v>142</v>
      </c>
      <c r="L321" s="33">
        <f>M321-K321</f>
        <v>0</v>
      </c>
      <c r="M321" s="33">
        <v>142</v>
      </c>
      <c r="N321" s="33">
        <v>142</v>
      </c>
    </row>
    <row r="322" spans="1:14" s="152" customFormat="1" ht="54" x14ac:dyDescent="0.35">
      <c r="A322" s="18"/>
      <c r="B322" s="31" t="s">
        <v>78</v>
      </c>
      <c r="C322" s="32" t="s">
        <v>491</v>
      </c>
      <c r="D322" s="17" t="s">
        <v>226</v>
      </c>
      <c r="E322" s="17" t="s">
        <v>41</v>
      </c>
      <c r="F322" s="659" t="s">
        <v>41</v>
      </c>
      <c r="G322" s="660" t="s">
        <v>47</v>
      </c>
      <c r="H322" s="660" t="s">
        <v>41</v>
      </c>
      <c r="I322" s="661" t="s">
        <v>276</v>
      </c>
      <c r="J322" s="17" t="s">
        <v>79</v>
      </c>
      <c r="K322" s="33">
        <v>4476.1000000000004</v>
      </c>
      <c r="L322" s="33">
        <f>M322-K322</f>
        <v>0</v>
      </c>
      <c r="M322" s="33">
        <v>4476.1000000000004</v>
      </c>
      <c r="N322" s="33">
        <v>4476.1000000000004</v>
      </c>
    </row>
    <row r="323" spans="1:14" s="152" customFormat="1" ht="198" x14ac:dyDescent="0.35">
      <c r="A323" s="18"/>
      <c r="B323" s="31" t="s">
        <v>745</v>
      </c>
      <c r="C323" s="32" t="s">
        <v>491</v>
      </c>
      <c r="D323" s="17" t="s">
        <v>226</v>
      </c>
      <c r="E323" s="17" t="s">
        <v>41</v>
      </c>
      <c r="F323" s="659" t="s">
        <v>41</v>
      </c>
      <c r="G323" s="660" t="s">
        <v>47</v>
      </c>
      <c r="H323" s="660" t="s">
        <v>41</v>
      </c>
      <c r="I323" s="661" t="s">
        <v>686</v>
      </c>
      <c r="J323" s="17"/>
      <c r="K323" s="33">
        <f>K324+K325</f>
        <v>33409.299999999996</v>
      </c>
      <c r="L323" s="33">
        <f>L324+L325</f>
        <v>0</v>
      </c>
      <c r="M323" s="33">
        <f>M324+M325</f>
        <v>33409.299999999996</v>
      </c>
      <c r="N323" s="33">
        <f>N324+N325</f>
        <v>35284.199999999997</v>
      </c>
    </row>
    <row r="324" spans="1:14" s="152" customFormat="1" ht="108" x14ac:dyDescent="0.35">
      <c r="A324" s="18"/>
      <c r="B324" s="31" t="s">
        <v>51</v>
      </c>
      <c r="C324" s="32" t="s">
        <v>491</v>
      </c>
      <c r="D324" s="17" t="s">
        <v>226</v>
      </c>
      <c r="E324" s="17" t="s">
        <v>41</v>
      </c>
      <c r="F324" s="659" t="s">
        <v>41</v>
      </c>
      <c r="G324" s="660" t="s">
        <v>47</v>
      </c>
      <c r="H324" s="660" t="s">
        <v>41</v>
      </c>
      <c r="I324" s="661" t="s">
        <v>686</v>
      </c>
      <c r="J324" s="17" t="s">
        <v>52</v>
      </c>
      <c r="K324" s="33">
        <v>2734.2</v>
      </c>
      <c r="L324" s="33">
        <f>M324-K324</f>
        <v>0</v>
      </c>
      <c r="M324" s="33">
        <v>2734.2</v>
      </c>
      <c r="N324" s="33">
        <v>2812.4</v>
      </c>
    </row>
    <row r="325" spans="1:14" s="152" customFormat="1" ht="54" x14ac:dyDescent="0.35">
      <c r="A325" s="18"/>
      <c r="B325" s="31" t="s">
        <v>78</v>
      </c>
      <c r="C325" s="32" t="s">
        <v>491</v>
      </c>
      <c r="D325" s="17" t="s">
        <v>226</v>
      </c>
      <c r="E325" s="17" t="s">
        <v>41</v>
      </c>
      <c r="F325" s="659" t="s">
        <v>41</v>
      </c>
      <c r="G325" s="660" t="s">
        <v>47</v>
      </c>
      <c r="H325" s="660" t="s">
        <v>41</v>
      </c>
      <c r="I325" s="661" t="s">
        <v>686</v>
      </c>
      <c r="J325" s="17" t="s">
        <v>79</v>
      </c>
      <c r="K325" s="33">
        <v>30675.1</v>
      </c>
      <c r="L325" s="33">
        <f>M325-K325</f>
        <v>0</v>
      </c>
      <c r="M325" s="33">
        <v>30675.1</v>
      </c>
      <c r="N325" s="33">
        <v>32471.8</v>
      </c>
    </row>
    <row r="326" spans="1:14" s="156" customFormat="1" ht="180" x14ac:dyDescent="0.35">
      <c r="A326" s="18"/>
      <c r="B326" s="31" t="s">
        <v>270</v>
      </c>
      <c r="C326" s="32" t="s">
        <v>491</v>
      </c>
      <c r="D326" s="17" t="s">
        <v>226</v>
      </c>
      <c r="E326" s="17" t="s">
        <v>41</v>
      </c>
      <c r="F326" s="659" t="s">
        <v>41</v>
      </c>
      <c r="G326" s="660" t="s">
        <v>47</v>
      </c>
      <c r="H326" s="660" t="s">
        <v>41</v>
      </c>
      <c r="I326" s="661" t="s">
        <v>271</v>
      </c>
      <c r="J326" s="17"/>
      <c r="K326" s="33">
        <f>SUM(K327:K329)</f>
        <v>1659.2</v>
      </c>
      <c r="L326" s="33">
        <f>SUM(L327:L329)</f>
        <v>0</v>
      </c>
      <c r="M326" s="33">
        <f>SUM(M327:M329)</f>
        <v>1659.2</v>
      </c>
      <c r="N326" s="33">
        <f>SUM(N327:N329)</f>
        <v>1709</v>
      </c>
    </row>
    <row r="327" spans="1:14" s="156" customFormat="1" ht="108" x14ac:dyDescent="0.35">
      <c r="A327" s="18"/>
      <c r="B327" s="31" t="s">
        <v>51</v>
      </c>
      <c r="C327" s="32" t="s">
        <v>491</v>
      </c>
      <c r="D327" s="17" t="s">
        <v>226</v>
      </c>
      <c r="E327" s="17" t="s">
        <v>41</v>
      </c>
      <c r="F327" s="659" t="s">
        <v>41</v>
      </c>
      <c r="G327" s="660" t="s">
        <v>47</v>
      </c>
      <c r="H327" s="660" t="s">
        <v>41</v>
      </c>
      <c r="I327" s="661" t="s">
        <v>271</v>
      </c>
      <c r="J327" s="17" t="s">
        <v>52</v>
      </c>
      <c r="K327" s="33">
        <v>99.7</v>
      </c>
      <c r="L327" s="33">
        <f>M327-K327</f>
        <v>0</v>
      </c>
      <c r="M327" s="33">
        <v>99.7</v>
      </c>
      <c r="N327" s="33">
        <v>99.7</v>
      </c>
    </row>
    <row r="328" spans="1:14" s="156" customFormat="1" ht="36" x14ac:dyDescent="0.35">
      <c r="A328" s="18"/>
      <c r="B328" s="31" t="s">
        <v>122</v>
      </c>
      <c r="C328" s="32" t="s">
        <v>491</v>
      </c>
      <c r="D328" s="17" t="s">
        <v>226</v>
      </c>
      <c r="E328" s="17" t="s">
        <v>41</v>
      </c>
      <c r="F328" s="659" t="s">
        <v>41</v>
      </c>
      <c r="G328" s="660" t="s">
        <v>47</v>
      </c>
      <c r="H328" s="660" t="s">
        <v>41</v>
      </c>
      <c r="I328" s="661" t="s">
        <v>271</v>
      </c>
      <c r="J328" s="17" t="s">
        <v>123</v>
      </c>
      <c r="K328" s="33">
        <v>6.6</v>
      </c>
      <c r="L328" s="33">
        <f>M328-K328</f>
        <v>0</v>
      </c>
      <c r="M328" s="33">
        <v>6.6</v>
      </c>
      <c r="N328" s="33">
        <v>6.6</v>
      </c>
    </row>
    <row r="329" spans="1:14" s="156" customFormat="1" ht="54" x14ac:dyDescent="0.35">
      <c r="A329" s="18"/>
      <c r="B329" s="31" t="s">
        <v>78</v>
      </c>
      <c r="C329" s="32" t="s">
        <v>491</v>
      </c>
      <c r="D329" s="17" t="s">
        <v>226</v>
      </c>
      <c r="E329" s="17" t="s">
        <v>41</v>
      </c>
      <c r="F329" s="659" t="s">
        <v>41</v>
      </c>
      <c r="G329" s="660" t="s">
        <v>47</v>
      </c>
      <c r="H329" s="660" t="s">
        <v>41</v>
      </c>
      <c r="I329" s="661" t="s">
        <v>271</v>
      </c>
      <c r="J329" s="17" t="s">
        <v>79</v>
      </c>
      <c r="K329" s="33">
        <v>1552.9</v>
      </c>
      <c r="L329" s="33">
        <f>M329-K329</f>
        <v>0</v>
      </c>
      <c r="M329" s="33">
        <v>1552.9</v>
      </c>
      <c r="N329" s="33">
        <v>1602.7</v>
      </c>
    </row>
    <row r="330" spans="1:14" s="156" customFormat="1" ht="108" x14ac:dyDescent="0.35">
      <c r="A330" s="18"/>
      <c r="B330" s="31" t="s">
        <v>354</v>
      </c>
      <c r="C330" s="32" t="s">
        <v>491</v>
      </c>
      <c r="D330" s="17" t="s">
        <v>226</v>
      </c>
      <c r="E330" s="17" t="s">
        <v>41</v>
      </c>
      <c r="F330" s="659" t="s">
        <v>41</v>
      </c>
      <c r="G330" s="660" t="s">
        <v>47</v>
      </c>
      <c r="H330" s="660" t="s">
        <v>41</v>
      </c>
      <c r="I330" s="661" t="s">
        <v>272</v>
      </c>
      <c r="J330" s="17"/>
      <c r="K330" s="33">
        <f>K331+K332+K333</f>
        <v>402579.3</v>
      </c>
      <c r="L330" s="33">
        <f>L331+L332+L333</f>
        <v>0</v>
      </c>
      <c r="M330" s="33">
        <f>M331+M332+M333</f>
        <v>402579.3</v>
      </c>
      <c r="N330" s="33">
        <f>N331+N332+N333</f>
        <v>402579.3</v>
      </c>
    </row>
    <row r="331" spans="1:14" s="156" customFormat="1" ht="108" x14ac:dyDescent="0.35">
      <c r="A331" s="18"/>
      <c r="B331" s="31" t="s">
        <v>51</v>
      </c>
      <c r="C331" s="32" t="s">
        <v>491</v>
      </c>
      <c r="D331" s="17" t="s">
        <v>226</v>
      </c>
      <c r="E331" s="17" t="s">
        <v>41</v>
      </c>
      <c r="F331" s="659" t="s">
        <v>41</v>
      </c>
      <c r="G331" s="660" t="s">
        <v>47</v>
      </c>
      <c r="H331" s="660" t="s">
        <v>41</v>
      </c>
      <c r="I331" s="661" t="s">
        <v>272</v>
      </c>
      <c r="J331" s="17" t="s">
        <v>52</v>
      </c>
      <c r="K331" s="33">
        <v>26623.599999999999</v>
      </c>
      <c r="L331" s="33">
        <f>M331-K331</f>
        <v>0</v>
      </c>
      <c r="M331" s="33">
        <v>26623.599999999999</v>
      </c>
      <c r="N331" s="33">
        <v>26623.599999999999</v>
      </c>
    </row>
    <row r="332" spans="1:14" s="156" customFormat="1" ht="54" x14ac:dyDescent="0.35">
      <c r="A332" s="18"/>
      <c r="B332" s="31" t="s">
        <v>57</v>
      </c>
      <c r="C332" s="32" t="s">
        <v>491</v>
      </c>
      <c r="D332" s="17" t="s">
        <v>226</v>
      </c>
      <c r="E332" s="17" t="s">
        <v>41</v>
      </c>
      <c r="F332" s="659" t="s">
        <v>41</v>
      </c>
      <c r="G332" s="660" t="s">
        <v>47</v>
      </c>
      <c r="H332" s="660" t="s">
        <v>41</v>
      </c>
      <c r="I332" s="661" t="s">
        <v>272</v>
      </c>
      <c r="J332" s="17" t="s">
        <v>58</v>
      </c>
      <c r="K332" s="33">
        <v>3027.7</v>
      </c>
      <c r="L332" s="33">
        <f>M332-K332</f>
        <v>0</v>
      </c>
      <c r="M332" s="33">
        <v>3027.7</v>
      </c>
      <c r="N332" s="33">
        <v>3027.7</v>
      </c>
    </row>
    <row r="333" spans="1:14" s="156" customFormat="1" ht="54" x14ac:dyDescent="0.35">
      <c r="A333" s="18"/>
      <c r="B333" s="31" t="s">
        <v>78</v>
      </c>
      <c r="C333" s="32" t="s">
        <v>491</v>
      </c>
      <c r="D333" s="17" t="s">
        <v>226</v>
      </c>
      <c r="E333" s="17" t="s">
        <v>41</v>
      </c>
      <c r="F333" s="659" t="s">
        <v>41</v>
      </c>
      <c r="G333" s="660" t="s">
        <v>47</v>
      </c>
      <c r="H333" s="660" t="s">
        <v>41</v>
      </c>
      <c r="I333" s="661" t="s">
        <v>272</v>
      </c>
      <c r="J333" s="17" t="s">
        <v>79</v>
      </c>
      <c r="K333" s="33">
        <v>372928</v>
      </c>
      <c r="L333" s="33">
        <f>M333-K333</f>
        <v>0</v>
      </c>
      <c r="M333" s="33">
        <v>372928</v>
      </c>
      <c r="N333" s="33">
        <v>372928</v>
      </c>
    </row>
    <row r="334" spans="1:14" s="152" customFormat="1" ht="90" x14ac:dyDescent="0.35">
      <c r="A334" s="18"/>
      <c r="B334" s="31" t="s">
        <v>211</v>
      </c>
      <c r="C334" s="32" t="s">
        <v>491</v>
      </c>
      <c r="D334" s="17" t="s">
        <v>226</v>
      </c>
      <c r="E334" s="17" t="s">
        <v>41</v>
      </c>
      <c r="F334" s="659" t="s">
        <v>41</v>
      </c>
      <c r="G334" s="660" t="s">
        <v>47</v>
      </c>
      <c r="H334" s="660" t="s">
        <v>41</v>
      </c>
      <c r="I334" s="661" t="s">
        <v>277</v>
      </c>
      <c r="J334" s="17"/>
      <c r="K334" s="33">
        <f t="shared" ref="K334" si="52">SUM(K335:K336)</f>
        <v>2380.9</v>
      </c>
      <c r="L334" s="33">
        <f t="shared" ref="L334" si="53">SUM(L335:L336)</f>
        <v>0</v>
      </c>
      <c r="M334" s="33">
        <f t="shared" ref="M334:N334" si="54">SUM(M335:M336)</f>
        <v>2380.9</v>
      </c>
      <c r="N334" s="33">
        <f t="shared" si="54"/>
        <v>2550.2999999999997</v>
      </c>
    </row>
    <row r="335" spans="1:14" s="152" customFormat="1" ht="54" x14ac:dyDescent="0.35">
      <c r="A335" s="18"/>
      <c r="B335" s="31" t="s">
        <v>57</v>
      </c>
      <c r="C335" s="32" t="s">
        <v>491</v>
      </c>
      <c r="D335" s="17" t="s">
        <v>226</v>
      </c>
      <c r="E335" s="17" t="s">
        <v>41</v>
      </c>
      <c r="F335" s="659" t="s">
        <v>41</v>
      </c>
      <c r="G335" s="660" t="s">
        <v>47</v>
      </c>
      <c r="H335" s="660" t="s">
        <v>41</v>
      </c>
      <c r="I335" s="661" t="s">
        <v>277</v>
      </c>
      <c r="J335" s="17" t="s">
        <v>58</v>
      </c>
      <c r="K335" s="33">
        <v>102.8</v>
      </c>
      <c r="L335" s="33">
        <f>M335-K335</f>
        <v>0</v>
      </c>
      <c r="M335" s="33">
        <v>102.8</v>
      </c>
      <c r="N335" s="33">
        <v>111.2</v>
      </c>
    </row>
    <row r="336" spans="1:14" s="152" customFormat="1" ht="54" x14ac:dyDescent="0.35">
      <c r="A336" s="18"/>
      <c r="B336" s="31" t="s">
        <v>78</v>
      </c>
      <c r="C336" s="32" t="s">
        <v>491</v>
      </c>
      <c r="D336" s="17" t="s">
        <v>226</v>
      </c>
      <c r="E336" s="17" t="s">
        <v>41</v>
      </c>
      <c r="F336" s="659" t="s">
        <v>41</v>
      </c>
      <c r="G336" s="660" t="s">
        <v>47</v>
      </c>
      <c r="H336" s="660" t="s">
        <v>41</v>
      </c>
      <c r="I336" s="661" t="s">
        <v>277</v>
      </c>
      <c r="J336" s="17" t="s">
        <v>79</v>
      </c>
      <c r="K336" s="33">
        <v>2278.1</v>
      </c>
      <c r="L336" s="33">
        <f>M336-K336</f>
        <v>0</v>
      </c>
      <c r="M336" s="33">
        <v>2278.1</v>
      </c>
      <c r="N336" s="33">
        <v>2439.1</v>
      </c>
    </row>
    <row r="337" spans="1:17" s="152" customFormat="1" ht="157.5" customHeight="1" x14ac:dyDescent="0.35">
      <c r="A337" s="18"/>
      <c r="B337" s="31" t="s">
        <v>723</v>
      </c>
      <c r="C337" s="32" t="s">
        <v>491</v>
      </c>
      <c r="D337" s="17" t="s">
        <v>226</v>
      </c>
      <c r="E337" s="17" t="s">
        <v>41</v>
      </c>
      <c r="F337" s="659" t="s">
        <v>41</v>
      </c>
      <c r="G337" s="660" t="s">
        <v>47</v>
      </c>
      <c r="H337" s="660" t="s">
        <v>41</v>
      </c>
      <c r="I337" s="661" t="s">
        <v>722</v>
      </c>
      <c r="J337" s="17"/>
      <c r="K337" s="33">
        <f>K338+K339</f>
        <v>1196.0999999999999</v>
      </c>
      <c r="L337" s="33">
        <f>L338+L339</f>
        <v>0</v>
      </c>
      <c r="M337" s="33">
        <f>M338+M339</f>
        <v>1196.0999999999999</v>
      </c>
      <c r="N337" s="33">
        <f>N338+N339</f>
        <v>1196.0999999999999</v>
      </c>
    </row>
    <row r="338" spans="1:17" s="152" customFormat="1" ht="54" x14ac:dyDescent="0.35">
      <c r="A338" s="18"/>
      <c r="B338" s="31" t="s">
        <v>57</v>
      </c>
      <c r="C338" s="32" t="s">
        <v>491</v>
      </c>
      <c r="D338" s="17" t="s">
        <v>226</v>
      </c>
      <c r="E338" s="17" t="s">
        <v>41</v>
      </c>
      <c r="F338" s="659" t="s">
        <v>41</v>
      </c>
      <c r="G338" s="660" t="s">
        <v>47</v>
      </c>
      <c r="H338" s="660" t="s">
        <v>41</v>
      </c>
      <c r="I338" s="661" t="s">
        <v>722</v>
      </c>
      <c r="J338" s="17" t="s">
        <v>58</v>
      </c>
      <c r="K338" s="33">
        <v>15</v>
      </c>
      <c r="L338" s="33">
        <f>M338-K338</f>
        <v>0</v>
      </c>
      <c r="M338" s="33">
        <v>15</v>
      </c>
      <c r="N338" s="33">
        <v>15</v>
      </c>
    </row>
    <row r="339" spans="1:17" s="152" customFormat="1" ht="54" x14ac:dyDescent="0.35">
      <c r="A339" s="18"/>
      <c r="B339" s="31" t="s">
        <v>78</v>
      </c>
      <c r="C339" s="32" t="s">
        <v>491</v>
      </c>
      <c r="D339" s="17" t="s">
        <v>226</v>
      </c>
      <c r="E339" s="17" t="s">
        <v>41</v>
      </c>
      <c r="F339" s="659" t="s">
        <v>41</v>
      </c>
      <c r="G339" s="660" t="s">
        <v>47</v>
      </c>
      <c r="H339" s="660" t="s">
        <v>41</v>
      </c>
      <c r="I339" s="661" t="s">
        <v>722</v>
      </c>
      <c r="J339" s="17" t="s">
        <v>79</v>
      </c>
      <c r="K339" s="33">
        <v>1181.0999999999999</v>
      </c>
      <c r="L339" s="33">
        <f>M339-K339</f>
        <v>0</v>
      </c>
      <c r="M339" s="33">
        <v>1181.0999999999999</v>
      </c>
      <c r="N339" s="33">
        <v>1181.0999999999999</v>
      </c>
    </row>
    <row r="340" spans="1:17" s="152" customFormat="1" ht="95.4" customHeight="1" x14ac:dyDescent="0.35">
      <c r="A340" s="18"/>
      <c r="B340" s="31" t="s">
        <v>530</v>
      </c>
      <c r="C340" s="32" t="s">
        <v>491</v>
      </c>
      <c r="D340" s="17" t="s">
        <v>226</v>
      </c>
      <c r="E340" s="17" t="s">
        <v>41</v>
      </c>
      <c r="F340" s="659" t="s">
        <v>41</v>
      </c>
      <c r="G340" s="660" t="s">
        <v>47</v>
      </c>
      <c r="H340" s="660" t="s">
        <v>41</v>
      </c>
      <c r="I340" s="661" t="s">
        <v>529</v>
      </c>
      <c r="J340" s="17"/>
      <c r="K340" s="33">
        <f>K341+K342</f>
        <v>56500.700000000004</v>
      </c>
      <c r="L340" s="33">
        <f>L341+L342</f>
        <v>0</v>
      </c>
      <c r="M340" s="33">
        <f>M341+M342</f>
        <v>56500.700000000004</v>
      </c>
      <c r="N340" s="33">
        <f>N341+N342</f>
        <v>57707.200000000004</v>
      </c>
    </row>
    <row r="341" spans="1:17" s="152" customFormat="1" ht="54" x14ac:dyDescent="0.35">
      <c r="A341" s="18"/>
      <c r="B341" s="31" t="s">
        <v>57</v>
      </c>
      <c r="C341" s="32" t="s">
        <v>491</v>
      </c>
      <c r="D341" s="17" t="s">
        <v>226</v>
      </c>
      <c r="E341" s="17" t="s">
        <v>41</v>
      </c>
      <c r="F341" s="659" t="s">
        <v>41</v>
      </c>
      <c r="G341" s="660" t="s">
        <v>47</v>
      </c>
      <c r="H341" s="660" t="s">
        <v>41</v>
      </c>
      <c r="I341" s="661" t="s">
        <v>529</v>
      </c>
      <c r="J341" s="17" t="s">
        <v>58</v>
      </c>
      <c r="K341" s="33">
        <v>1755.4</v>
      </c>
      <c r="L341" s="33">
        <f>M341-K341</f>
        <v>0</v>
      </c>
      <c r="M341" s="33">
        <v>1755.4</v>
      </c>
      <c r="N341" s="33">
        <v>1801.9</v>
      </c>
    </row>
    <row r="342" spans="1:17" s="152" customFormat="1" ht="54" x14ac:dyDescent="0.35">
      <c r="A342" s="18"/>
      <c r="B342" s="31" t="s">
        <v>78</v>
      </c>
      <c r="C342" s="32" t="s">
        <v>491</v>
      </c>
      <c r="D342" s="17" t="s">
        <v>226</v>
      </c>
      <c r="E342" s="17" t="s">
        <v>41</v>
      </c>
      <c r="F342" s="659" t="s">
        <v>41</v>
      </c>
      <c r="G342" s="660" t="s">
        <v>47</v>
      </c>
      <c r="H342" s="660" t="s">
        <v>41</v>
      </c>
      <c r="I342" s="661" t="s">
        <v>529</v>
      </c>
      <c r="J342" s="17" t="s">
        <v>79</v>
      </c>
      <c r="K342" s="33">
        <v>54745.3</v>
      </c>
      <c r="L342" s="33">
        <f>M342-K342</f>
        <v>0</v>
      </c>
      <c r="M342" s="33">
        <v>54745.3</v>
      </c>
      <c r="N342" s="33">
        <v>55905.3</v>
      </c>
      <c r="Q342" s="231"/>
    </row>
    <row r="343" spans="1:17" s="152" customFormat="1" ht="205.2" customHeight="1" x14ac:dyDescent="0.35">
      <c r="A343" s="18"/>
      <c r="B343" s="31" t="s">
        <v>724</v>
      </c>
      <c r="C343" s="32" t="s">
        <v>491</v>
      </c>
      <c r="D343" s="17" t="s">
        <v>226</v>
      </c>
      <c r="E343" s="17" t="s">
        <v>41</v>
      </c>
      <c r="F343" s="659" t="s">
        <v>41</v>
      </c>
      <c r="G343" s="660" t="s">
        <v>47</v>
      </c>
      <c r="H343" s="660" t="s">
        <v>41</v>
      </c>
      <c r="I343" s="661" t="s">
        <v>725</v>
      </c>
      <c r="J343" s="17"/>
      <c r="K343" s="33">
        <f>K344</f>
        <v>0</v>
      </c>
      <c r="L343" s="33">
        <f>L344</f>
        <v>0</v>
      </c>
      <c r="M343" s="33">
        <f>M344</f>
        <v>0</v>
      </c>
      <c r="N343" s="33">
        <f>N344</f>
        <v>3900.6</v>
      </c>
      <c r="Q343" s="231"/>
    </row>
    <row r="344" spans="1:17" s="152" customFormat="1" ht="54" x14ac:dyDescent="0.35">
      <c r="A344" s="18"/>
      <c r="B344" s="31" t="s">
        <v>78</v>
      </c>
      <c r="C344" s="32" t="s">
        <v>491</v>
      </c>
      <c r="D344" s="17" t="s">
        <v>226</v>
      </c>
      <c r="E344" s="17" t="s">
        <v>41</v>
      </c>
      <c r="F344" s="659" t="s">
        <v>41</v>
      </c>
      <c r="G344" s="660" t="s">
        <v>47</v>
      </c>
      <c r="H344" s="660" t="s">
        <v>41</v>
      </c>
      <c r="I344" s="661" t="s">
        <v>725</v>
      </c>
      <c r="J344" s="17" t="s">
        <v>79</v>
      </c>
      <c r="K344" s="33">
        <v>0</v>
      </c>
      <c r="L344" s="33">
        <f>M344-K344</f>
        <v>0</v>
      </c>
      <c r="M344" s="33">
        <v>0</v>
      </c>
      <c r="N344" s="33">
        <v>3900.6</v>
      </c>
      <c r="Q344" s="231"/>
    </row>
    <row r="345" spans="1:17" s="152" customFormat="1" ht="90" x14ac:dyDescent="0.35">
      <c r="A345" s="18"/>
      <c r="B345" s="31" t="s">
        <v>720</v>
      </c>
      <c r="C345" s="32" t="s">
        <v>491</v>
      </c>
      <c r="D345" s="17" t="s">
        <v>226</v>
      </c>
      <c r="E345" s="17" t="s">
        <v>41</v>
      </c>
      <c r="F345" s="659" t="s">
        <v>41</v>
      </c>
      <c r="G345" s="660" t="s">
        <v>47</v>
      </c>
      <c r="H345" s="660" t="s">
        <v>41</v>
      </c>
      <c r="I345" s="661" t="s">
        <v>719</v>
      </c>
      <c r="J345" s="17"/>
      <c r="K345" s="33">
        <f>K346+K347+K348</f>
        <v>12523.9</v>
      </c>
      <c r="L345" s="33">
        <f>L346+L347+L348</f>
        <v>0</v>
      </c>
      <c r="M345" s="33">
        <f>M346+M347+M348</f>
        <v>12523.9</v>
      </c>
      <c r="N345" s="33">
        <f>N346+N347+N348</f>
        <v>12447.800000000001</v>
      </c>
      <c r="Q345" s="231"/>
    </row>
    <row r="346" spans="1:17" s="152" customFormat="1" ht="54" x14ac:dyDescent="0.35">
      <c r="A346" s="18"/>
      <c r="B346" s="31" t="s">
        <v>57</v>
      </c>
      <c r="C346" s="32" t="s">
        <v>491</v>
      </c>
      <c r="D346" s="17" t="s">
        <v>226</v>
      </c>
      <c r="E346" s="17" t="s">
        <v>41</v>
      </c>
      <c r="F346" s="659" t="s">
        <v>41</v>
      </c>
      <c r="G346" s="660" t="s">
        <v>47</v>
      </c>
      <c r="H346" s="660" t="s">
        <v>41</v>
      </c>
      <c r="I346" s="661" t="s">
        <v>719</v>
      </c>
      <c r="J346" s="17" t="s">
        <v>58</v>
      </c>
      <c r="K346" s="33">
        <v>80</v>
      </c>
      <c r="L346" s="33">
        <f>M346-K346</f>
        <v>0</v>
      </c>
      <c r="M346" s="33">
        <v>80</v>
      </c>
      <c r="N346" s="33">
        <v>79.5</v>
      </c>
      <c r="Q346" s="231"/>
    </row>
    <row r="347" spans="1:17" s="152" customFormat="1" ht="36" x14ac:dyDescent="0.35">
      <c r="A347" s="18"/>
      <c r="B347" s="31" t="s">
        <v>122</v>
      </c>
      <c r="C347" s="32" t="s">
        <v>491</v>
      </c>
      <c r="D347" s="17" t="s">
        <v>226</v>
      </c>
      <c r="E347" s="17" t="s">
        <v>41</v>
      </c>
      <c r="F347" s="659" t="s">
        <v>41</v>
      </c>
      <c r="G347" s="660" t="s">
        <v>47</v>
      </c>
      <c r="H347" s="660" t="s">
        <v>41</v>
      </c>
      <c r="I347" s="661" t="s">
        <v>719</v>
      </c>
      <c r="J347" s="17" t="s">
        <v>123</v>
      </c>
      <c r="K347" s="33">
        <v>64</v>
      </c>
      <c r="L347" s="33">
        <f>M347-K347</f>
        <v>0</v>
      </c>
      <c r="M347" s="33">
        <v>64</v>
      </c>
      <c r="N347" s="33">
        <v>63.6</v>
      </c>
      <c r="Q347" s="231"/>
    </row>
    <row r="348" spans="1:17" s="152" customFormat="1" ht="54" x14ac:dyDescent="0.35">
      <c r="A348" s="18"/>
      <c r="B348" s="31" t="s">
        <v>78</v>
      </c>
      <c r="C348" s="32" t="s">
        <v>491</v>
      </c>
      <c r="D348" s="17" t="s">
        <v>226</v>
      </c>
      <c r="E348" s="17" t="s">
        <v>41</v>
      </c>
      <c r="F348" s="659" t="s">
        <v>41</v>
      </c>
      <c r="G348" s="660" t="s">
        <v>47</v>
      </c>
      <c r="H348" s="660" t="s">
        <v>41</v>
      </c>
      <c r="I348" s="661" t="s">
        <v>719</v>
      </c>
      <c r="J348" s="17" t="s">
        <v>79</v>
      </c>
      <c r="K348" s="33">
        <v>12379.9</v>
      </c>
      <c r="L348" s="33">
        <f>M348-K348</f>
        <v>0</v>
      </c>
      <c r="M348" s="33">
        <v>12379.9</v>
      </c>
      <c r="N348" s="33">
        <v>12304.7</v>
      </c>
      <c r="Q348" s="231"/>
    </row>
    <row r="349" spans="1:17" s="156" customFormat="1" ht="54" x14ac:dyDescent="0.35">
      <c r="A349" s="18"/>
      <c r="B349" s="31" t="s">
        <v>214</v>
      </c>
      <c r="C349" s="32" t="s">
        <v>491</v>
      </c>
      <c r="D349" s="17" t="s">
        <v>226</v>
      </c>
      <c r="E349" s="17" t="s">
        <v>41</v>
      </c>
      <c r="F349" s="659" t="s">
        <v>41</v>
      </c>
      <c r="G349" s="660" t="s">
        <v>32</v>
      </c>
      <c r="H349" s="660" t="s">
        <v>45</v>
      </c>
      <c r="I349" s="661" t="s">
        <v>46</v>
      </c>
      <c r="J349" s="17"/>
      <c r="K349" s="33">
        <f t="shared" ref="K349:N350" si="55">K350</f>
        <v>2294.8000000000002</v>
      </c>
      <c r="L349" s="33">
        <f t="shared" si="55"/>
        <v>0</v>
      </c>
      <c r="M349" s="33">
        <f t="shared" si="55"/>
        <v>2294.8000000000002</v>
      </c>
      <c r="N349" s="33">
        <f t="shared" si="55"/>
        <v>2294.8000000000002</v>
      </c>
    </row>
    <row r="350" spans="1:17" s="156" customFormat="1" ht="36" x14ac:dyDescent="0.35">
      <c r="A350" s="18"/>
      <c r="B350" s="31" t="s">
        <v>284</v>
      </c>
      <c r="C350" s="32" t="s">
        <v>491</v>
      </c>
      <c r="D350" s="17" t="s">
        <v>226</v>
      </c>
      <c r="E350" s="17" t="s">
        <v>41</v>
      </c>
      <c r="F350" s="659" t="s">
        <v>41</v>
      </c>
      <c r="G350" s="660" t="s">
        <v>32</v>
      </c>
      <c r="H350" s="660" t="s">
        <v>39</v>
      </c>
      <c r="I350" s="661" t="s">
        <v>46</v>
      </c>
      <c r="J350" s="17"/>
      <c r="K350" s="33">
        <f t="shared" si="55"/>
        <v>2294.8000000000002</v>
      </c>
      <c r="L350" s="33">
        <f t="shared" si="55"/>
        <v>0</v>
      </c>
      <c r="M350" s="33">
        <f t="shared" si="55"/>
        <v>2294.8000000000002</v>
      </c>
      <c r="N350" s="33">
        <f t="shared" si="55"/>
        <v>2294.8000000000002</v>
      </c>
    </row>
    <row r="351" spans="1:17" s="156" customFormat="1" ht="256.8" customHeight="1" x14ac:dyDescent="0.35">
      <c r="A351" s="18"/>
      <c r="B351" s="31" t="s">
        <v>502</v>
      </c>
      <c r="C351" s="32" t="s">
        <v>491</v>
      </c>
      <c r="D351" s="17" t="s">
        <v>226</v>
      </c>
      <c r="E351" s="17" t="s">
        <v>41</v>
      </c>
      <c r="F351" s="659" t="s">
        <v>41</v>
      </c>
      <c r="G351" s="660" t="s">
        <v>32</v>
      </c>
      <c r="H351" s="660" t="s">
        <v>39</v>
      </c>
      <c r="I351" s="661" t="s">
        <v>355</v>
      </c>
      <c r="J351" s="17"/>
      <c r="K351" s="33">
        <f>K352</f>
        <v>2294.8000000000002</v>
      </c>
      <c r="L351" s="33">
        <f>L352</f>
        <v>0</v>
      </c>
      <c r="M351" s="33">
        <f>M352</f>
        <v>2294.8000000000002</v>
      </c>
      <c r="N351" s="33">
        <f>N352</f>
        <v>2294.8000000000002</v>
      </c>
    </row>
    <row r="352" spans="1:17" s="156" customFormat="1" ht="54" x14ac:dyDescent="0.35">
      <c r="A352" s="18"/>
      <c r="B352" s="31" t="s">
        <v>78</v>
      </c>
      <c r="C352" s="32" t="s">
        <v>491</v>
      </c>
      <c r="D352" s="17" t="s">
        <v>226</v>
      </c>
      <c r="E352" s="17" t="s">
        <v>41</v>
      </c>
      <c r="F352" s="659" t="s">
        <v>41</v>
      </c>
      <c r="G352" s="660" t="s">
        <v>32</v>
      </c>
      <c r="H352" s="660" t="s">
        <v>39</v>
      </c>
      <c r="I352" s="661" t="s">
        <v>355</v>
      </c>
      <c r="J352" s="17" t="s">
        <v>79</v>
      </c>
      <c r="K352" s="33">
        <v>2294.8000000000002</v>
      </c>
      <c r="L352" s="33">
        <f>M352-K352</f>
        <v>0</v>
      </c>
      <c r="M352" s="33">
        <v>2294.8000000000002</v>
      </c>
      <c r="N352" s="33">
        <v>2294.8000000000002</v>
      </c>
    </row>
    <row r="353" spans="1:14" s="156" customFormat="1" ht="18" x14ac:dyDescent="0.35">
      <c r="A353" s="18"/>
      <c r="B353" s="31" t="s">
        <v>358</v>
      </c>
      <c r="C353" s="32" t="s">
        <v>491</v>
      </c>
      <c r="D353" s="17" t="s">
        <v>226</v>
      </c>
      <c r="E353" s="17" t="s">
        <v>65</v>
      </c>
      <c r="F353" s="659"/>
      <c r="G353" s="660"/>
      <c r="H353" s="660"/>
      <c r="I353" s="661"/>
      <c r="J353" s="17"/>
      <c r="K353" s="33">
        <f>K354+K369</f>
        <v>62570.000000000007</v>
      </c>
      <c r="L353" s="33">
        <f>L354+L369</f>
        <v>0</v>
      </c>
      <c r="M353" s="33">
        <f>M354+M369</f>
        <v>62570.000000000007</v>
      </c>
      <c r="N353" s="33">
        <f>N354+N369</f>
        <v>67055.799999999988</v>
      </c>
    </row>
    <row r="354" spans="1:14" s="156" customFormat="1" ht="54" x14ac:dyDescent="0.35">
      <c r="A354" s="18"/>
      <c r="B354" s="119" t="s">
        <v>207</v>
      </c>
      <c r="C354" s="32" t="s">
        <v>491</v>
      </c>
      <c r="D354" s="17" t="s">
        <v>226</v>
      </c>
      <c r="E354" s="17" t="s">
        <v>65</v>
      </c>
      <c r="F354" s="659" t="s">
        <v>41</v>
      </c>
      <c r="G354" s="660" t="s">
        <v>44</v>
      </c>
      <c r="H354" s="660" t="s">
        <v>45</v>
      </c>
      <c r="I354" s="661" t="s">
        <v>46</v>
      </c>
      <c r="J354" s="17"/>
      <c r="K354" s="33">
        <f t="shared" ref="K354:N354" si="56">K355</f>
        <v>61998.400000000009</v>
      </c>
      <c r="L354" s="33">
        <f t="shared" si="56"/>
        <v>0</v>
      </c>
      <c r="M354" s="33">
        <f t="shared" si="56"/>
        <v>61998.400000000009</v>
      </c>
      <c r="N354" s="33">
        <f t="shared" si="56"/>
        <v>67055.799999999988</v>
      </c>
    </row>
    <row r="355" spans="1:14" s="156" customFormat="1" ht="24.75" customHeight="1" x14ac:dyDescent="0.35">
      <c r="A355" s="18"/>
      <c r="B355" s="31" t="s">
        <v>212</v>
      </c>
      <c r="C355" s="32" t="s">
        <v>491</v>
      </c>
      <c r="D355" s="17" t="s">
        <v>226</v>
      </c>
      <c r="E355" s="17" t="s">
        <v>65</v>
      </c>
      <c r="F355" s="659" t="s">
        <v>41</v>
      </c>
      <c r="G355" s="660" t="s">
        <v>91</v>
      </c>
      <c r="H355" s="660" t="s">
        <v>45</v>
      </c>
      <c r="I355" s="661" t="s">
        <v>46</v>
      </c>
      <c r="J355" s="17"/>
      <c r="K355" s="33">
        <f>K356</f>
        <v>61998.400000000009</v>
      </c>
      <c r="L355" s="33">
        <f>L356</f>
        <v>0</v>
      </c>
      <c r="M355" s="33">
        <f>M356</f>
        <v>61998.400000000009</v>
      </c>
      <c r="N355" s="33">
        <f>N356</f>
        <v>67055.799999999988</v>
      </c>
    </row>
    <row r="356" spans="1:14" s="156" customFormat="1" ht="36" x14ac:dyDescent="0.35">
      <c r="A356" s="18"/>
      <c r="B356" s="31" t="s">
        <v>278</v>
      </c>
      <c r="C356" s="32" t="s">
        <v>491</v>
      </c>
      <c r="D356" s="17" t="s">
        <v>226</v>
      </c>
      <c r="E356" s="17" t="s">
        <v>65</v>
      </c>
      <c r="F356" s="659" t="s">
        <v>41</v>
      </c>
      <c r="G356" s="660" t="s">
        <v>91</v>
      </c>
      <c r="H356" s="660" t="s">
        <v>39</v>
      </c>
      <c r="I356" s="661" t="s">
        <v>46</v>
      </c>
      <c r="J356" s="17"/>
      <c r="K356" s="33">
        <f>K357+K365+K367+K362</f>
        <v>61998.400000000009</v>
      </c>
      <c r="L356" s="33">
        <f>L357+L365+L367+L362</f>
        <v>0</v>
      </c>
      <c r="M356" s="33">
        <f>M357+M365+M367+M362</f>
        <v>61998.400000000009</v>
      </c>
      <c r="N356" s="33">
        <f>N357+N365+N367+N362</f>
        <v>67055.799999999988</v>
      </c>
    </row>
    <row r="357" spans="1:14" s="156" customFormat="1" ht="40.5" customHeight="1" x14ac:dyDescent="0.35">
      <c r="A357" s="18"/>
      <c r="B357" s="112" t="s">
        <v>540</v>
      </c>
      <c r="C357" s="32" t="s">
        <v>491</v>
      </c>
      <c r="D357" s="17" t="s">
        <v>226</v>
      </c>
      <c r="E357" s="17" t="s">
        <v>65</v>
      </c>
      <c r="F357" s="659" t="s">
        <v>41</v>
      </c>
      <c r="G357" s="660" t="s">
        <v>91</v>
      </c>
      <c r="H357" s="660" t="s">
        <v>39</v>
      </c>
      <c r="I357" s="661" t="s">
        <v>93</v>
      </c>
      <c r="J357" s="17"/>
      <c r="K357" s="33">
        <f>K360+K358+K359+K361</f>
        <v>50541.200000000004</v>
      </c>
      <c r="L357" s="33">
        <f>L360+L358+L359+L361</f>
        <v>0</v>
      </c>
      <c r="M357" s="33">
        <f>M360+M358+M359+M361</f>
        <v>50541.200000000004</v>
      </c>
      <c r="N357" s="33">
        <f>N360+N358+N359+N361</f>
        <v>55595.299999999996</v>
      </c>
    </row>
    <row r="358" spans="1:14" s="156" customFormat="1" ht="108" x14ac:dyDescent="0.35">
      <c r="A358" s="18"/>
      <c r="B358" s="31" t="s">
        <v>51</v>
      </c>
      <c r="C358" s="32" t="s">
        <v>491</v>
      </c>
      <c r="D358" s="17" t="s">
        <v>226</v>
      </c>
      <c r="E358" s="17" t="s">
        <v>65</v>
      </c>
      <c r="F358" s="659" t="s">
        <v>41</v>
      </c>
      <c r="G358" s="660" t="s">
        <v>91</v>
      </c>
      <c r="H358" s="660" t="s">
        <v>39</v>
      </c>
      <c r="I358" s="661" t="s">
        <v>93</v>
      </c>
      <c r="J358" s="17" t="s">
        <v>52</v>
      </c>
      <c r="K358" s="33">
        <v>20212.7</v>
      </c>
      <c r="L358" s="33">
        <f>M358-K358</f>
        <v>0</v>
      </c>
      <c r="M358" s="33">
        <v>20212.7</v>
      </c>
      <c r="N358" s="33">
        <v>20212.7</v>
      </c>
    </row>
    <row r="359" spans="1:14" s="156" customFormat="1" ht="54" x14ac:dyDescent="0.35">
      <c r="A359" s="18"/>
      <c r="B359" s="31" t="s">
        <v>57</v>
      </c>
      <c r="C359" s="32" t="s">
        <v>491</v>
      </c>
      <c r="D359" s="17" t="s">
        <v>226</v>
      </c>
      <c r="E359" s="17" t="s">
        <v>65</v>
      </c>
      <c r="F359" s="659" t="s">
        <v>41</v>
      </c>
      <c r="G359" s="660" t="s">
        <v>91</v>
      </c>
      <c r="H359" s="660" t="s">
        <v>39</v>
      </c>
      <c r="I359" s="661" t="s">
        <v>93</v>
      </c>
      <c r="J359" s="17" t="s">
        <v>58</v>
      </c>
      <c r="K359" s="33">
        <v>1988.9</v>
      </c>
      <c r="L359" s="33">
        <f>M359-K359</f>
        <v>0</v>
      </c>
      <c r="M359" s="33">
        <v>1988.9</v>
      </c>
      <c r="N359" s="33">
        <v>4230.6000000000004</v>
      </c>
    </row>
    <row r="360" spans="1:14" s="156" customFormat="1" ht="54" x14ac:dyDescent="0.35">
      <c r="A360" s="18"/>
      <c r="B360" s="31" t="s">
        <v>78</v>
      </c>
      <c r="C360" s="32" t="s">
        <v>491</v>
      </c>
      <c r="D360" s="17" t="s">
        <v>226</v>
      </c>
      <c r="E360" s="17" t="s">
        <v>65</v>
      </c>
      <c r="F360" s="659" t="s">
        <v>41</v>
      </c>
      <c r="G360" s="660" t="s">
        <v>91</v>
      </c>
      <c r="H360" s="660" t="s">
        <v>39</v>
      </c>
      <c r="I360" s="661" t="s">
        <v>93</v>
      </c>
      <c r="J360" s="17" t="s">
        <v>79</v>
      </c>
      <c r="K360" s="33">
        <v>28226.400000000001</v>
      </c>
      <c r="L360" s="33">
        <f>M360-K360</f>
        <v>0</v>
      </c>
      <c r="M360" s="33">
        <v>28226.400000000001</v>
      </c>
      <c r="N360" s="33">
        <v>31039</v>
      </c>
    </row>
    <row r="361" spans="1:14" s="156" customFormat="1" ht="18" x14ac:dyDescent="0.35">
      <c r="A361" s="18"/>
      <c r="B361" s="31" t="s">
        <v>59</v>
      </c>
      <c r="C361" s="32" t="s">
        <v>491</v>
      </c>
      <c r="D361" s="17" t="s">
        <v>226</v>
      </c>
      <c r="E361" s="17" t="s">
        <v>65</v>
      </c>
      <c r="F361" s="659" t="s">
        <v>41</v>
      </c>
      <c r="G361" s="660" t="s">
        <v>91</v>
      </c>
      <c r="H361" s="660" t="s">
        <v>39</v>
      </c>
      <c r="I361" s="661" t="s">
        <v>93</v>
      </c>
      <c r="J361" s="17" t="s">
        <v>60</v>
      </c>
      <c r="K361" s="33">
        <v>113.2</v>
      </c>
      <c r="L361" s="33">
        <f>M361-K361</f>
        <v>0</v>
      </c>
      <c r="M361" s="33">
        <v>113.2</v>
      </c>
      <c r="N361" s="33">
        <v>113</v>
      </c>
    </row>
    <row r="362" spans="1:14" s="156" customFormat="1" ht="54" x14ac:dyDescent="0.35">
      <c r="A362" s="18"/>
      <c r="B362" s="31" t="s">
        <v>209</v>
      </c>
      <c r="C362" s="32" t="s">
        <v>491</v>
      </c>
      <c r="D362" s="17" t="s">
        <v>226</v>
      </c>
      <c r="E362" s="17" t="s">
        <v>65</v>
      </c>
      <c r="F362" s="659" t="s">
        <v>41</v>
      </c>
      <c r="G362" s="660" t="s">
        <v>91</v>
      </c>
      <c r="H362" s="660" t="s">
        <v>39</v>
      </c>
      <c r="I362" s="661" t="s">
        <v>275</v>
      </c>
      <c r="J362" s="17"/>
      <c r="K362" s="33">
        <f>K363+K364</f>
        <v>1260</v>
      </c>
      <c r="L362" s="33">
        <f>L363+L364</f>
        <v>0</v>
      </c>
      <c r="M362" s="33">
        <f>M363+M364</f>
        <v>1260</v>
      </c>
      <c r="N362" s="33">
        <f>N363+N364</f>
        <v>1260</v>
      </c>
    </row>
    <row r="363" spans="1:14" s="156" customFormat="1" ht="54" x14ac:dyDescent="0.35">
      <c r="A363" s="18"/>
      <c r="B363" s="31" t="s">
        <v>57</v>
      </c>
      <c r="C363" s="32" t="s">
        <v>491</v>
      </c>
      <c r="D363" s="17" t="s">
        <v>226</v>
      </c>
      <c r="E363" s="17" t="s">
        <v>65</v>
      </c>
      <c r="F363" s="659" t="s">
        <v>41</v>
      </c>
      <c r="G363" s="660" t="s">
        <v>91</v>
      </c>
      <c r="H363" s="660" t="s">
        <v>39</v>
      </c>
      <c r="I363" s="661" t="s">
        <v>275</v>
      </c>
      <c r="J363" s="17" t="s">
        <v>58</v>
      </c>
      <c r="K363" s="33">
        <f>506.3</f>
        <v>506.3</v>
      </c>
      <c r="L363" s="33">
        <f>M363-K363</f>
        <v>0</v>
      </c>
      <c r="M363" s="33">
        <f>506.3</f>
        <v>506.3</v>
      </c>
      <c r="N363" s="33">
        <f>506.3</f>
        <v>506.3</v>
      </c>
    </row>
    <row r="364" spans="1:14" s="156" customFormat="1" ht="54" x14ac:dyDescent="0.35">
      <c r="A364" s="18"/>
      <c r="B364" s="119" t="s">
        <v>78</v>
      </c>
      <c r="C364" s="32" t="s">
        <v>491</v>
      </c>
      <c r="D364" s="17" t="s">
        <v>226</v>
      </c>
      <c r="E364" s="17" t="s">
        <v>65</v>
      </c>
      <c r="F364" s="659" t="s">
        <v>41</v>
      </c>
      <c r="G364" s="660" t="s">
        <v>91</v>
      </c>
      <c r="H364" s="660" t="s">
        <v>39</v>
      </c>
      <c r="I364" s="661" t="s">
        <v>275</v>
      </c>
      <c r="J364" s="17" t="s">
        <v>79</v>
      </c>
      <c r="K364" s="33">
        <f>753.7</f>
        <v>753.7</v>
      </c>
      <c r="L364" s="33">
        <f>M364-K364</f>
        <v>0</v>
      </c>
      <c r="M364" s="33">
        <f>753.7</f>
        <v>753.7</v>
      </c>
      <c r="N364" s="33">
        <f>753.7</f>
        <v>753.7</v>
      </c>
    </row>
    <row r="365" spans="1:14" s="156" customFormat="1" ht="183.75" customHeight="1" x14ac:dyDescent="0.35">
      <c r="A365" s="18"/>
      <c r="B365" s="31" t="s">
        <v>270</v>
      </c>
      <c r="C365" s="32" t="s">
        <v>491</v>
      </c>
      <c r="D365" s="17" t="s">
        <v>226</v>
      </c>
      <c r="E365" s="17" t="s">
        <v>65</v>
      </c>
      <c r="F365" s="659" t="s">
        <v>41</v>
      </c>
      <c r="G365" s="660" t="s">
        <v>91</v>
      </c>
      <c r="H365" s="660" t="s">
        <v>39</v>
      </c>
      <c r="I365" s="661" t="s">
        <v>271</v>
      </c>
      <c r="J365" s="17"/>
      <c r="K365" s="33">
        <f>K366</f>
        <v>110.4</v>
      </c>
      <c r="L365" s="33">
        <f>L366</f>
        <v>0</v>
      </c>
      <c r="M365" s="33">
        <f>M366</f>
        <v>110.4</v>
      </c>
      <c r="N365" s="33">
        <f>N366</f>
        <v>113.7</v>
      </c>
    </row>
    <row r="366" spans="1:14" s="156" customFormat="1" ht="54" x14ac:dyDescent="0.35">
      <c r="A366" s="18"/>
      <c r="B366" s="31" t="s">
        <v>78</v>
      </c>
      <c r="C366" s="32" t="s">
        <v>491</v>
      </c>
      <c r="D366" s="17" t="s">
        <v>226</v>
      </c>
      <c r="E366" s="17" t="s">
        <v>65</v>
      </c>
      <c r="F366" s="659" t="s">
        <v>41</v>
      </c>
      <c r="G366" s="660" t="s">
        <v>91</v>
      </c>
      <c r="H366" s="660" t="s">
        <v>39</v>
      </c>
      <c r="I366" s="661" t="s">
        <v>271</v>
      </c>
      <c r="J366" s="17" t="s">
        <v>79</v>
      </c>
      <c r="K366" s="33">
        <v>110.4</v>
      </c>
      <c r="L366" s="33">
        <f>M366-K366</f>
        <v>0</v>
      </c>
      <c r="M366" s="33">
        <v>110.4</v>
      </c>
      <c r="N366" s="33">
        <v>113.7</v>
      </c>
    </row>
    <row r="367" spans="1:14" s="156" customFormat="1" ht="115.5" customHeight="1" x14ac:dyDescent="0.35">
      <c r="A367" s="18"/>
      <c r="B367" s="31" t="s">
        <v>354</v>
      </c>
      <c r="C367" s="32" t="s">
        <v>491</v>
      </c>
      <c r="D367" s="17" t="s">
        <v>226</v>
      </c>
      <c r="E367" s="17" t="s">
        <v>65</v>
      </c>
      <c r="F367" s="659" t="s">
        <v>41</v>
      </c>
      <c r="G367" s="660" t="s">
        <v>91</v>
      </c>
      <c r="H367" s="660" t="s">
        <v>39</v>
      </c>
      <c r="I367" s="661" t="s">
        <v>272</v>
      </c>
      <c r="J367" s="17"/>
      <c r="K367" s="33">
        <f>K368</f>
        <v>10086.799999999999</v>
      </c>
      <c r="L367" s="33">
        <f>L368</f>
        <v>0</v>
      </c>
      <c r="M367" s="33">
        <f>M368</f>
        <v>10086.799999999999</v>
      </c>
      <c r="N367" s="33">
        <f>N368</f>
        <v>10086.799999999999</v>
      </c>
    </row>
    <row r="368" spans="1:14" s="156" customFormat="1" ht="54" x14ac:dyDescent="0.35">
      <c r="A368" s="18"/>
      <c r="B368" s="31" t="s">
        <v>78</v>
      </c>
      <c r="C368" s="32" t="s">
        <v>491</v>
      </c>
      <c r="D368" s="17" t="s">
        <v>226</v>
      </c>
      <c r="E368" s="17" t="s">
        <v>65</v>
      </c>
      <c r="F368" s="659" t="s">
        <v>41</v>
      </c>
      <c r="G368" s="660" t="s">
        <v>91</v>
      </c>
      <c r="H368" s="660" t="s">
        <v>39</v>
      </c>
      <c r="I368" s="661" t="s">
        <v>272</v>
      </c>
      <c r="J368" s="17" t="s">
        <v>79</v>
      </c>
      <c r="K368" s="33">
        <v>10086.799999999999</v>
      </c>
      <c r="L368" s="33">
        <f>M368-K368</f>
        <v>0</v>
      </c>
      <c r="M368" s="33">
        <v>10086.799999999999</v>
      </c>
      <c r="N368" s="33">
        <v>10086.799999999999</v>
      </c>
    </row>
    <row r="369" spans="1:14" s="156" customFormat="1" ht="55.5" customHeight="1" x14ac:dyDescent="0.35">
      <c r="A369" s="18"/>
      <c r="B369" s="31" t="s">
        <v>82</v>
      </c>
      <c r="C369" s="32" t="s">
        <v>491</v>
      </c>
      <c r="D369" s="17" t="s">
        <v>226</v>
      </c>
      <c r="E369" s="17" t="s">
        <v>65</v>
      </c>
      <c r="F369" s="659" t="s">
        <v>83</v>
      </c>
      <c r="G369" s="660" t="s">
        <v>44</v>
      </c>
      <c r="H369" s="660" t="s">
        <v>45</v>
      </c>
      <c r="I369" s="661" t="s">
        <v>46</v>
      </c>
      <c r="J369" s="17"/>
      <c r="K369" s="33">
        <f t="shared" ref="K369:M371" si="57">K370</f>
        <v>571.6</v>
      </c>
      <c r="L369" s="33">
        <f t="shared" si="57"/>
        <v>0</v>
      </c>
      <c r="M369" s="33">
        <f t="shared" si="57"/>
        <v>571.6</v>
      </c>
      <c r="N369" s="33">
        <f t="shared" ref="N369:N371" si="58">N370</f>
        <v>0</v>
      </c>
    </row>
    <row r="370" spans="1:14" s="156" customFormat="1" ht="36" x14ac:dyDescent="0.35">
      <c r="A370" s="18"/>
      <c r="B370" s="31" t="s">
        <v>127</v>
      </c>
      <c r="C370" s="32" t="s">
        <v>491</v>
      </c>
      <c r="D370" s="17" t="s">
        <v>226</v>
      </c>
      <c r="E370" s="17" t="s">
        <v>65</v>
      </c>
      <c r="F370" s="659" t="s">
        <v>83</v>
      </c>
      <c r="G370" s="660" t="s">
        <v>91</v>
      </c>
      <c r="H370" s="660" t="s">
        <v>45</v>
      </c>
      <c r="I370" s="661" t="s">
        <v>46</v>
      </c>
      <c r="J370" s="17"/>
      <c r="K370" s="33">
        <f t="shared" si="57"/>
        <v>571.6</v>
      </c>
      <c r="L370" s="33">
        <f t="shared" si="57"/>
        <v>0</v>
      </c>
      <c r="M370" s="33">
        <f t="shared" si="57"/>
        <v>571.6</v>
      </c>
      <c r="N370" s="33">
        <f t="shared" si="58"/>
        <v>0</v>
      </c>
    </row>
    <row r="371" spans="1:14" s="156" customFormat="1" ht="38.25" customHeight="1" x14ac:dyDescent="0.35">
      <c r="A371" s="18"/>
      <c r="B371" s="31" t="s">
        <v>273</v>
      </c>
      <c r="C371" s="32" t="s">
        <v>491</v>
      </c>
      <c r="D371" s="17" t="s">
        <v>226</v>
      </c>
      <c r="E371" s="17" t="s">
        <v>65</v>
      </c>
      <c r="F371" s="659" t="s">
        <v>83</v>
      </c>
      <c r="G371" s="660" t="s">
        <v>91</v>
      </c>
      <c r="H371" s="660" t="s">
        <v>39</v>
      </c>
      <c r="I371" s="661" t="s">
        <v>46</v>
      </c>
      <c r="J371" s="17"/>
      <c r="K371" s="33">
        <f t="shared" si="57"/>
        <v>571.6</v>
      </c>
      <c r="L371" s="33">
        <f t="shared" si="57"/>
        <v>0</v>
      </c>
      <c r="M371" s="33">
        <f t="shared" si="57"/>
        <v>571.6</v>
      </c>
      <c r="N371" s="33">
        <f t="shared" si="58"/>
        <v>0</v>
      </c>
    </row>
    <row r="372" spans="1:14" s="156" customFormat="1" ht="18" x14ac:dyDescent="0.35">
      <c r="A372" s="18"/>
      <c r="B372" s="31" t="s">
        <v>497</v>
      </c>
      <c r="C372" s="32" t="s">
        <v>491</v>
      </c>
      <c r="D372" s="17" t="s">
        <v>226</v>
      </c>
      <c r="E372" s="17" t="s">
        <v>65</v>
      </c>
      <c r="F372" s="659" t="s">
        <v>83</v>
      </c>
      <c r="G372" s="660" t="s">
        <v>91</v>
      </c>
      <c r="H372" s="660" t="s">
        <v>39</v>
      </c>
      <c r="I372" s="661" t="s">
        <v>498</v>
      </c>
      <c r="J372" s="17"/>
      <c r="K372" s="33">
        <f>K373</f>
        <v>571.6</v>
      </c>
      <c r="L372" s="33">
        <f>L373</f>
        <v>0</v>
      </c>
      <c r="M372" s="33">
        <f>M373</f>
        <v>571.6</v>
      </c>
      <c r="N372" s="33">
        <f>N373</f>
        <v>0</v>
      </c>
    </row>
    <row r="373" spans="1:14" s="156" customFormat="1" ht="54" x14ac:dyDescent="0.35">
      <c r="A373" s="18"/>
      <c r="B373" s="31" t="s">
        <v>57</v>
      </c>
      <c r="C373" s="32" t="s">
        <v>491</v>
      </c>
      <c r="D373" s="17" t="s">
        <v>226</v>
      </c>
      <c r="E373" s="17" t="s">
        <v>65</v>
      </c>
      <c r="F373" s="659" t="s">
        <v>83</v>
      </c>
      <c r="G373" s="660" t="s">
        <v>91</v>
      </c>
      <c r="H373" s="660" t="s">
        <v>39</v>
      </c>
      <c r="I373" s="661" t="s">
        <v>498</v>
      </c>
      <c r="J373" s="17" t="s">
        <v>58</v>
      </c>
      <c r="K373" s="33">
        <v>571.6</v>
      </c>
      <c r="L373" s="33">
        <f>M373-K373</f>
        <v>0</v>
      </c>
      <c r="M373" s="33">
        <v>571.6</v>
      </c>
      <c r="N373" s="33">
        <v>0</v>
      </c>
    </row>
    <row r="374" spans="1:14" s="152" customFormat="1" ht="18" x14ac:dyDescent="0.35">
      <c r="A374" s="18"/>
      <c r="B374" s="31" t="s">
        <v>359</v>
      </c>
      <c r="C374" s="32" t="s">
        <v>491</v>
      </c>
      <c r="D374" s="17" t="s">
        <v>226</v>
      </c>
      <c r="E374" s="17" t="s">
        <v>226</v>
      </c>
      <c r="F374" s="659"/>
      <c r="G374" s="660"/>
      <c r="H374" s="660"/>
      <c r="I374" s="661"/>
      <c r="J374" s="17"/>
      <c r="K374" s="33">
        <f t="shared" ref="K374:N374" si="59">K375</f>
        <v>7938.2999999999993</v>
      </c>
      <c r="L374" s="33">
        <f t="shared" si="59"/>
        <v>0</v>
      </c>
      <c r="M374" s="33">
        <f t="shared" si="59"/>
        <v>7938.2999999999993</v>
      </c>
      <c r="N374" s="33">
        <f t="shared" si="59"/>
        <v>7938.2999999999993</v>
      </c>
    </row>
    <row r="375" spans="1:14" s="152" customFormat="1" ht="54" x14ac:dyDescent="0.35">
      <c r="A375" s="18"/>
      <c r="B375" s="31" t="s">
        <v>207</v>
      </c>
      <c r="C375" s="32" t="s">
        <v>491</v>
      </c>
      <c r="D375" s="17" t="s">
        <v>226</v>
      </c>
      <c r="E375" s="17" t="s">
        <v>226</v>
      </c>
      <c r="F375" s="659" t="s">
        <v>41</v>
      </c>
      <c r="G375" s="660" t="s">
        <v>44</v>
      </c>
      <c r="H375" s="660" t="s">
        <v>45</v>
      </c>
      <c r="I375" s="661" t="s">
        <v>46</v>
      </c>
      <c r="J375" s="17"/>
      <c r="K375" s="33">
        <f t="shared" ref="K375:N376" si="60">K376</f>
        <v>7938.2999999999993</v>
      </c>
      <c r="L375" s="33">
        <f t="shared" si="60"/>
        <v>0</v>
      </c>
      <c r="M375" s="33">
        <f t="shared" si="60"/>
        <v>7938.2999999999993</v>
      </c>
      <c r="N375" s="33">
        <f t="shared" si="60"/>
        <v>7938.2999999999993</v>
      </c>
    </row>
    <row r="376" spans="1:14" s="152" customFormat="1" ht="54" x14ac:dyDescent="0.35">
      <c r="A376" s="18"/>
      <c r="B376" s="31" t="s">
        <v>214</v>
      </c>
      <c r="C376" s="32" t="s">
        <v>491</v>
      </c>
      <c r="D376" s="17" t="s">
        <v>226</v>
      </c>
      <c r="E376" s="17" t="s">
        <v>226</v>
      </c>
      <c r="F376" s="659" t="s">
        <v>41</v>
      </c>
      <c r="G376" s="660" t="s">
        <v>32</v>
      </c>
      <c r="H376" s="660" t="s">
        <v>45</v>
      </c>
      <c r="I376" s="661" t="s">
        <v>46</v>
      </c>
      <c r="J376" s="17"/>
      <c r="K376" s="33">
        <f t="shared" si="60"/>
        <v>7938.2999999999993</v>
      </c>
      <c r="L376" s="33">
        <f t="shared" si="60"/>
        <v>0</v>
      </c>
      <c r="M376" s="33">
        <f t="shared" si="60"/>
        <v>7938.2999999999993</v>
      </c>
      <c r="N376" s="33">
        <f t="shared" si="60"/>
        <v>7938.2999999999993</v>
      </c>
    </row>
    <row r="377" spans="1:14" s="152" customFormat="1" ht="54" x14ac:dyDescent="0.35">
      <c r="A377" s="18"/>
      <c r="B377" s="31" t="s">
        <v>283</v>
      </c>
      <c r="C377" s="32" t="s">
        <v>491</v>
      </c>
      <c r="D377" s="17" t="s">
        <v>226</v>
      </c>
      <c r="E377" s="17" t="s">
        <v>226</v>
      </c>
      <c r="F377" s="659" t="s">
        <v>41</v>
      </c>
      <c r="G377" s="660" t="s">
        <v>32</v>
      </c>
      <c r="H377" s="660" t="s">
        <v>41</v>
      </c>
      <c r="I377" s="661" t="s">
        <v>46</v>
      </c>
      <c r="J377" s="17"/>
      <c r="K377" s="33">
        <f>K378+K380</f>
        <v>7938.2999999999993</v>
      </c>
      <c r="L377" s="33">
        <f>L378+L380</f>
        <v>0</v>
      </c>
      <c r="M377" s="33">
        <f>M378+M380</f>
        <v>7938.2999999999993</v>
      </c>
      <c r="N377" s="33">
        <f>N378+N380</f>
        <v>7938.2999999999993</v>
      </c>
    </row>
    <row r="378" spans="1:14" s="152" customFormat="1" ht="36" x14ac:dyDescent="0.35">
      <c r="A378" s="18"/>
      <c r="B378" s="31" t="s">
        <v>553</v>
      </c>
      <c r="C378" s="32" t="s">
        <v>491</v>
      </c>
      <c r="D378" s="17" t="s">
        <v>226</v>
      </c>
      <c r="E378" s="17" t="s">
        <v>226</v>
      </c>
      <c r="F378" s="659" t="s">
        <v>41</v>
      </c>
      <c r="G378" s="660" t="s">
        <v>32</v>
      </c>
      <c r="H378" s="660" t="s">
        <v>41</v>
      </c>
      <c r="I378" s="661" t="s">
        <v>552</v>
      </c>
      <c r="J378" s="17"/>
      <c r="K378" s="33">
        <f>K379</f>
        <v>1188.3999999999999</v>
      </c>
      <c r="L378" s="33">
        <f>L379</f>
        <v>0</v>
      </c>
      <c r="M378" s="33">
        <f>M379</f>
        <v>1188.3999999999999</v>
      </c>
      <c r="N378" s="33">
        <f>N379</f>
        <v>1188.3999999999999</v>
      </c>
    </row>
    <row r="379" spans="1:14" s="152" customFormat="1" ht="54" x14ac:dyDescent="0.35">
      <c r="A379" s="18"/>
      <c r="B379" s="31" t="s">
        <v>78</v>
      </c>
      <c r="C379" s="32" t="s">
        <v>491</v>
      </c>
      <c r="D379" s="17" t="s">
        <v>226</v>
      </c>
      <c r="E379" s="17" t="s">
        <v>226</v>
      </c>
      <c r="F379" s="659" t="s">
        <v>41</v>
      </c>
      <c r="G379" s="660" t="s">
        <v>32</v>
      </c>
      <c r="H379" s="660" t="s">
        <v>41</v>
      </c>
      <c r="I379" s="661" t="s">
        <v>552</v>
      </c>
      <c r="J379" s="17" t="s">
        <v>79</v>
      </c>
      <c r="K379" s="33">
        <f>524.3+591.9+72.2</f>
        <v>1188.3999999999999</v>
      </c>
      <c r="L379" s="33">
        <f>M379-K379</f>
        <v>0</v>
      </c>
      <c r="M379" s="33">
        <f>524.3+591.9+72.2</f>
        <v>1188.3999999999999</v>
      </c>
      <c r="N379" s="33">
        <f>524.3+591.9+72.2</f>
        <v>1188.3999999999999</v>
      </c>
    </row>
    <row r="380" spans="1:14" s="152" customFormat="1" ht="110.25" customHeight="1" x14ac:dyDescent="0.35">
      <c r="A380" s="18"/>
      <c r="B380" s="31" t="s">
        <v>508</v>
      </c>
      <c r="C380" s="32" t="s">
        <v>491</v>
      </c>
      <c r="D380" s="17" t="s">
        <v>226</v>
      </c>
      <c r="E380" s="17" t="s">
        <v>226</v>
      </c>
      <c r="F380" s="659" t="s">
        <v>41</v>
      </c>
      <c r="G380" s="660" t="s">
        <v>32</v>
      </c>
      <c r="H380" s="660" t="s">
        <v>41</v>
      </c>
      <c r="I380" s="661" t="s">
        <v>507</v>
      </c>
      <c r="J380" s="17"/>
      <c r="K380" s="33">
        <f t="shared" ref="K380:M380" si="61">K381</f>
        <v>6749.9</v>
      </c>
      <c r="L380" s="33">
        <f t="shared" si="61"/>
        <v>0</v>
      </c>
      <c r="M380" s="33">
        <f t="shared" si="61"/>
        <v>6749.9</v>
      </c>
      <c r="N380" s="33">
        <f>N381</f>
        <v>6749.9</v>
      </c>
    </row>
    <row r="381" spans="1:14" s="152" customFormat="1" ht="54" x14ac:dyDescent="0.35">
      <c r="A381" s="18"/>
      <c r="B381" s="31" t="s">
        <v>78</v>
      </c>
      <c r="C381" s="32" t="s">
        <v>491</v>
      </c>
      <c r="D381" s="17" t="s">
        <v>226</v>
      </c>
      <c r="E381" s="17" t="s">
        <v>226</v>
      </c>
      <c r="F381" s="659" t="s">
        <v>41</v>
      </c>
      <c r="G381" s="660" t="s">
        <v>32</v>
      </c>
      <c r="H381" s="660" t="s">
        <v>41</v>
      </c>
      <c r="I381" s="661" t="s">
        <v>507</v>
      </c>
      <c r="J381" s="17" t="s">
        <v>79</v>
      </c>
      <c r="K381" s="33">
        <v>6749.9</v>
      </c>
      <c r="L381" s="33">
        <f>M381-K381</f>
        <v>0</v>
      </c>
      <c r="M381" s="33">
        <v>6749.9</v>
      </c>
      <c r="N381" s="33">
        <v>6749.9</v>
      </c>
    </row>
    <row r="382" spans="1:14" s="156" customFormat="1" ht="18" x14ac:dyDescent="0.35">
      <c r="A382" s="18"/>
      <c r="B382" s="31" t="s">
        <v>188</v>
      </c>
      <c r="C382" s="32" t="s">
        <v>491</v>
      </c>
      <c r="D382" s="17" t="s">
        <v>226</v>
      </c>
      <c r="E382" s="17" t="s">
        <v>81</v>
      </c>
      <c r="F382" s="659"/>
      <c r="G382" s="660"/>
      <c r="H382" s="660"/>
      <c r="I382" s="661"/>
      <c r="J382" s="17"/>
      <c r="K382" s="33">
        <f>K383</f>
        <v>16622.7</v>
      </c>
      <c r="L382" s="33">
        <f>L383</f>
        <v>0</v>
      </c>
      <c r="M382" s="33">
        <f>M383</f>
        <v>16622.7</v>
      </c>
      <c r="N382" s="33">
        <f>N383</f>
        <v>64752.700000000004</v>
      </c>
    </row>
    <row r="383" spans="1:14" s="156" customFormat="1" ht="54" x14ac:dyDescent="0.35">
      <c r="A383" s="18"/>
      <c r="B383" s="31" t="s">
        <v>207</v>
      </c>
      <c r="C383" s="32" t="s">
        <v>491</v>
      </c>
      <c r="D383" s="17" t="s">
        <v>226</v>
      </c>
      <c r="E383" s="17" t="s">
        <v>81</v>
      </c>
      <c r="F383" s="659" t="s">
        <v>41</v>
      </c>
      <c r="G383" s="660" t="s">
        <v>44</v>
      </c>
      <c r="H383" s="660" t="s">
        <v>45</v>
      </c>
      <c r="I383" s="661" t="s">
        <v>46</v>
      </c>
      <c r="J383" s="17"/>
      <c r="K383" s="33">
        <f t="shared" ref="K383:N384" si="62">K384</f>
        <v>16622.7</v>
      </c>
      <c r="L383" s="33">
        <f t="shared" si="62"/>
        <v>0</v>
      </c>
      <c r="M383" s="33">
        <f t="shared" si="62"/>
        <v>16622.7</v>
      </c>
      <c r="N383" s="33">
        <f t="shared" si="62"/>
        <v>64752.700000000004</v>
      </c>
    </row>
    <row r="384" spans="1:14" s="156" customFormat="1" ht="54" x14ac:dyDescent="0.35">
      <c r="A384" s="18"/>
      <c r="B384" s="31" t="s">
        <v>214</v>
      </c>
      <c r="C384" s="32" t="s">
        <v>491</v>
      </c>
      <c r="D384" s="17" t="s">
        <v>226</v>
      </c>
      <c r="E384" s="17" t="s">
        <v>81</v>
      </c>
      <c r="F384" s="659" t="s">
        <v>41</v>
      </c>
      <c r="G384" s="660" t="s">
        <v>32</v>
      </c>
      <c r="H384" s="660" t="s">
        <v>45</v>
      </c>
      <c r="I384" s="661" t="s">
        <v>46</v>
      </c>
      <c r="J384" s="17"/>
      <c r="K384" s="33">
        <f t="shared" si="62"/>
        <v>16622.7</v>
      </c>
      <c r="L384" s="33">
        <f t="shared" si="62"/>
        <v>0</v>
      </c>
      <c r="M384" s="33">
        <f t="shared" si="62"/>
        <v>16622.7</v>
      </c>
      <c r="N384" s="33">
        <f t="shared" si="62"/>
        <v>64752.700000000004</v>
      </c>
    </row>
    <row r="385" spans="1:14" s="156" customFormat="1" ht="36" x14ac:dyDescent="0.35">
      <c r="A385" s="18"/>
      <c r="B385" s="31" t="s">
        <v>284</v>
      </c>
      <c r="C385" s="32" t="s">
        <v>491</v>
      </c>
      <c r="D385" s="17" t="s">
        <v>226</v>
      </c>
      <c r="E385" s="17" t="s">
        <v>81</v>
      </c>
      <c r="F385" s="659" t="s">
        <v>41</v>
      </c>
      <c r="G385" s="660" t="s">
        <v>32</v>
      </c>
      <c r="H385" s="660" t="s">
        <v>39</v>
      </c>
      <c r="I385" s="661" t="s">
        <v>46</v>
      </c>
      <c r="J385" s="17"/>
      <c r="K385" s="33">
        <f>K386+K390+K395</f>
        <v>16622.7</v>
      </c>
      <c r="L385" s="33">
        <f>L386+L390+L395</f>
        <v>0</v>
      </c>
      <c r="M385" s="33">
        <f>M386+M390+M395</f>
        <v>16622.7</v>
      </c>
      <c r="N385" s="33">
        <f>N386+N390+N395</f>
        <v>64752.700000000004</v>
      </c>
    </row>
    <row r="386" spans="1:14" s="156" customFormat="1" ht="36" x14ac:dyDescent="0.35">
      <c r="A386" s="18"/>
      <c r="B386" s="31" t="s">
        <v>49</v>
      </c>
      <c r="C386" s="32" t="s">
        <v>491</v>
      </c>
      <c r="D386" s="17" t="s">
        <v>226</v>
      </c>
      <c r="E386" s="17" t="s">
        <v>81</v>
      </c>
      <c r="F386" s="659" t="s">
        <v>41</v>
      </c>
      <c r="G386" s="660" t="s">
        <v>32</v>
      </c>
      <c r="H386" s="660" t="s">
        <v>39</v>
      </c>
      <c r="I386" s="661" t="s">
        <v>50</v>
      </c>
      <c r="J386" s="17"/>
      <c r="K386" s="33">
        <f>K387+K388+K389</f>
        <v>927.8</v>
      </c>
      <c r="L386" s="33">
        <f>L387+L388+L389</f>
        <v>0</v>
      </c>
      <c r="M386" s="33">
        <f>M387+M388+M389</f>
        <v>927.8</v>
      </c>
      <c r="N386" s="33">
        <f>N387+N388+N389</f>
        <v>10582.3</v>
      </c>
    </row>
    <row r="387" spans="1:14" s="156" customFormat="1" ht="108" x14ac:dyDescent="0.35">
      <c r="A387" s="18"/>
      <c r="B387" s="31" t="s">
        <v>51</v>
      </c>
      <c r="C387" s="32" t="s">
        <v>491</v>
      </c>
      <c r="D387" s="17" t="s">
        <v>226</v>
      </c>
      <c r="E387" s="17" t="s">
        <v>81</v>
      </c>
      <c r="F387" s="659" t="s">
        <v>41</v>
      </c>
      <c r="G387" s="660" t="s">
        <v>32</v>
      </c>
      <c r="H387" s="660" t="s">
        <v>39</v>
      </c>
      <c r="I387" s="661" t="s">
        <v>50</v>
      </c>
      <c r="J387" s="17" t="s">
        <v>52</v>
      </c>
      <c r="K387" s="33">
        <f>9648.3-9648.3</f>
        <v>0</v>
      </c>
      <c r="L387" s="33">
        <f>M387-K387</f>
        <v>0</v>
      </c>
      <c r="M387" s="33">
        <f>9648.3-9648.3</f>
        <v>0</v>
      </c>
      <c r="N387" s="33">
        <v>9648.2999999999993</v>
      </c>
    </row>
    <row r="388" spans="1:14" s="156" customFormat="1" ht="54" x14ac:dyDescent="0.35">
      <c r="A388" s="18"/>
      <c r="B388" s="31" t="s">
        <v>57</v>
      </c>
      <c r="C388" s="32" t="s">
        <v>491</v>
      </c>
      <c r="D388" s="17" t="s">
        <v>226</v>
      </c>
      <c r="E388" s="17" t="s">
        <v>81</v>
      </c>
      <c r="F388" s="659" t="s">
        <v>41</v>
      </c>
      <c r="G388" s="660" t="s">
        <v>32</v>
      </c>
      <c r="H388" s="660" t="s">
        <v>39</v>
      </c>
      <c r="I388" s="661" t="s">
        <v>50</v>
      </c>
      <c r="J388" s="17" t="s">
        <v>58</v>
      </c>
      <c r="K388" s="33">
        <v>910.9</v>
      </c>
      <c r="L388" s="33">
        <f>M388-K388</f>
        <v>0</v>
      </c>
      <c r="M388" s="33">
        <v>910.9</v>
      </c>
      <c r="N388" s="33">
        <v>917.2</v>
      </c>
    </row>
    <row r="389" spans="1:14" s="156" customFormat="1" ht="18" x14ac:dyDescent="0.35">
      <c r="A389" s="18"/>
      <c r="B389" s="31" t="s">
        <v>59</v>
      </c>
      <c r="C389" s="32" t="s">
        <v>491</v>
      </c>
      <c r="D389" s="17" t="s">
        <v>226</v>
      </c>
      <c r="E389" s="17" t="s">
        <v>81</v>
      </c>
      <c r="F389" s="659" t="s">
        <v>41</v>
      </c>
      <c r="G389" s="660" t="s">
        <v>32</v>
      </c>
      <c r="H389" s="660" t="s">
        <v>39</v>
      </c>
      <c r="I389" s="661" t="s">
        <v>50</v>
      </c>
      <c r="J389" s="17" t="s">
        <v>60</v>
      </c>
      <c r="K389" s="33">
        <v>16.899999999999999</v>
      </c>
      <c r="L389" s="33">
        <f>M389-K389</f>
        <v>0</v>
      </c>
      <c r="M389" s="33">
        <v>16.899999999999999</v>
      </c>
      <c r="N389" s="33">
        <v>16.8</v>
      </c>
    </row>
    <row r="390" spans="1:14" s="156" customFormat="1" ht="36" x14ac:dyDescent="0.35">
      <c r="A390" s="18"/>
      <c r="B390" s="112" t="s">
        <v>540</v>
      </c>
      <c r="C390" s="32" t="s">
        <v>491</v>
      </c>
      <c r="D390" s="17" t="s">
        <v>226</v>
      </c>
      <c r="E390" s="17" t="s">
        <v>81</v>
      </c>
      <c r="F390" s="659" t="s">
        <v>41</v>
      </c>
      <c r="G390" s="660" t="s">
        <v>32</v>
      </c>
      <c r="H390" s="660" t="s">
        <v>39</v>
      </c>
      <c r="I390" s="661" t="s">
        <v>93</v>
      </c>
      <c r="J390" s="17"/>
      <c r="K390" s="33">
        <f>K391+K392+K394+K393</f>
        <v>9505.0000000000018</v>
      </c>
      <c r="L390" s="33">
        <f>L391+L392+L394+L393</f>
        <v>0</v>
      </c>
      <c r="M390" s="33">
        <f>M391+M392+M394+M393</f>
        <v>9505.0000000000018</v>
      </c>
      <c r="N390" s="33">
        <f>N391+N392+N394+N393</f>
        <v>47980.5</v>
      </c>
    </row>
    <row r="391" spans="1:14" s="156" customFormat="1" ht="108" x14ac:dyDescent="0.35">
      <c r="A391" s="18"/>
      <c r="B391" s="31" t="s">
        <v>51</v>
      </c>
      <c r="C391" s="32" t="s">
        <v>491</v>
      </c>
      <c r="D391" s="17" t="s">
        <v>226</v>
      </c>
      <c r="E391" s="17" t="s">
        <v>81</v>
      </c>
      <c r="F391" s="659" t="s">
        <v>41</v>
      </c>
      <c r="G391" s="660" t="s">
        <v>32</v>
      </c>
      <c r="H391" s="660" t="s">
        <v>39</v>
      </c>
      <c r="I391" s="661" t="s">
        <v>93</v>
      </c>
      <c r="J391" s="17" t="s">
        <v>52</v>
      </c>
      <c r="K391" s="33">
        <f>28006.9-28006.9</f>
        <v>0</v>
      </c>
      <c r="L391" s="33">
        <f>M391-K391</f>
        <v>0</v>
      </c>
      <c r="M391" s="33">
        <f>28006.9-28006.9</f>
        <v>0</v>
      </c>
      <c r="N391" s="33">
        <v>28006.9</v>
      </c>
    </row>
    <row r="392" spans="1:14" s="156" customFormat="1" ht="54" x14ac:dyDescent="0.35">
      <c r="A392" s="18"/>
      <c r="B392" s="31" t="s">
        <v>57</v>
      </c>
      <c r="C392" s="32" t="s">
        <v>491</v>
      </c>
      <c r="D392" s="17" t="s">
        <v>226</v>
      </c>
      <c r="E392" s="17" t="s">
        <v>81</v>
      </c>
      <c r="F392" s="659" t="s">
        <v>41</v>
      </c>
      <c r="G392" s="660" t="s">
        <v>32</v>
      </c>
      <c r="H392" s="660" t="s">
        <v>39</v>
      </c>
      <c r="I392" s="661" t="s">
        <v>93</v>
      </c>
      <c r="J392" s="17" t="s">
        <v>58</v>
      </c>
      <c r="K392" s="33">
        <v>2651.3</v>
      </c>
      <c r="L392" s="33">
        <f>M392-K392</f>
        <v>0</v>
      </c>
      <c r="M392" s="33">
        <v>2651.3</v>
      </c>
      <c r="N392" s="33">
        <v>3071.4</v>
      </c>
    </row>
    <row r="393" spans="1:14" s="156" customFormat="1" ht="54" x14ac:dyDescent="0.35">
      <c r="A393" s="18"/>
      <c r="B393" s="31" t="s">
        <v>78</v>
      </c>
      <c r="C393" s="32" t="s">
        <v>491</v>
      </c>
      <c r="D393" s="17" t="s">
        <v>226</v>
      </c>
      <c r="E393" s="17" t="s">
        <v>81</v>
      </c>
      <c r="F393" s="659" t="s">
        <v>41</v>
      </c>
      <c r="G393" s="660" t="s">
        <v>32</v>
      </c>
      <c r="H393" s="660" t="s">
        <v>39</v>
      </c>
      <c r="I393" s="661" t="s">
        <v>93</v>
      </c>
      <c r="J393" s="17" t="s">
        <v>79</v>
      </c>
      <c r="K393" s="33">
        <f>16896.7-10048.8</f>
        <v>6847.9000000000015</v>
      </c>
      <c r="L393" s="33">
        <f>M393-K393</f>
        <v>0</v>
      </c>
      <c r="M393" s="33">
        <f>16896.7-10048.8</f>
        <v>6847.9000000000015</v>
      </c>
      <c r="N393" s="33">
        <v>16896.7</v>
      </c>
    </row>
    <row r="394" spans="1:14" s="156" customFormat="1" ht="18" x14ac:dyDescent="0.35">
      <c r="A394" s="18"/>
      <c r="B394" s="31" t="s">
        <v>59</v>
      </c>
      <c r="C394" s="32" t="s">
        <v>491</v>
      </c>
      <c r="D394" s="17" t="s">
        <v>226</v>
      </c>
      <c r="E394" s="17" t="s">
        <v>81</v>
      </c>
      <c r="F394" s="659" t="s">
        <v>41</v>
      </c>
      <c r="G394" s="660" t="s">
        <v>32</v>
      </c>
      <c r="H394" s="660" t="s">
        <v>39</v>
      </c>
      <c r="I394" s="661" t="s">
        <v>93</v>
      </c>
      <c r="J394" s="17" t="s">
        <v>60</v>
      </c>
      <c r="K394" s="33">
        <v>5.8</v>
      </c>
      <c r="L394" s="33">
        <f>M394-K394</f>
        <v>0</v>
      </c>
      <c r="M394" s="33">
        <v>5.8</v>
      </c>
      <c r="N394" s="33">
        <v>5.5</v>
      </c>
    </row>
    <row r="395" spans="1:14" s="156" customFormat="1" ht="108" x14ac:dyDescent="0.35">
      <c r="A395" s="18"/>
      <c r="B395" s="31" t="s">
        <v>354</v>
      </c>
      <c r="C395" s="32" t="s">
        <v>491</v>
      </c>
      <c r="D395" s="17" t="s">
        <v>226</v>
      </c>
      <c r="E395" s="17" t="s">
        <v>81</v>
      </c>
      <c r="F395" s="659" t="s">
        <v>41</v>
      </c>
      <c r="G395" s="660" t="s">
        <v>32</v>
      </c>
      <c r="H395" s="660" t="s">
        <v>39</v>
      </c>
      <c r="I395" s="661" t="s">
        <v>272</v>
      </c>
      <c r="J395" s="17"/>
      <c r="K395" s="33">
        <f>K396</f>
        <v>6189.9</v>
      </c>
      <c r="L395" s="33">
        <f>L396</f>
        <v>0</v>
      </c>
      <c r="M395" s="33">
        <f>M396</f>
        <v>6189.9</v>
      </c>
      <c r="N395" s="33">
        <f>N396</f>
        <v>6189.9</v>
      </c>
    </row>
    <row r="396" spans="1:14" s="156" customFormat="1" ht="108" x14ac:dyDescent="0.35">
      <c r="A396" s="18"/>
      <c r="B396" s="31" t="s">
        <v>51</v>
      </c>
      <c r="C396" s="32" t="s">
        <v>491</v>
      </c>
      <c r="D396" s="17" t="s">
        <v>226</v>
      </c>
      <c r="E396" s="17" t="s">
        <v>81</v>
      </c>
      <c r="F396" s="659" t="s">
        <v>41</v>
      </c>
      <c r="G396" s="660" t="s">
        <v>32</v>
      </c>
      <c r="H396" s="660" t="s">
        <v>39</v>
      </c>
      <c r="I396" s="661" t="s">
        <v>272</v>
      </c>
      <c r="J396" s="17" t="s">
        <v>52</v>
      </c>
      <c r="K396" s="33">
        <v>6189.9</v>
      </c>
      <c r="L396" s="33">
        <f>M396-K396</f>
        <v>0</v>
      </c>
      <c r="M396" s="33">
        <v>6189.9</v>
      </c>
      <c r="N396" s="33">
        <v>6189.9</v>
      </c>
    </row>
    <row r="397" spans="1:14" s="156" customFormat="1" ht="18" x14ac:dyDescent="0.35">
      <c r="A397" s="18"/>
      <c r="B397" s="36" t="s">
        <v>121</v>
      </c>
      <c r="C397" s="32" t="s">
        <v>491</v>
      </c>
      <c r="D397" s="17" t="s">
        <v>106</v>
      </c>
      <c r="E397" s="17"/>
      <c r="F397" s="659"/>
      <c r="G397" s="660"/>
      <c r="H397" s="660"/>
      <c r="I397" s="661"/>
      <c r="J397" s="17"/>
      <c r="K397" s="33">
        <f t="shared" ref="K397:N398" si="63">K398</f>
        <v>5452.5</v>
      </c>
      <c r="L397" s="33">
        <f t="shared" si="63"/>
        <v>0</v>
      </c>
      <c r="M397" s="33">
        <f t="shared" si="63"/>
        <v>5452.5</v>
      </c>
      <c r="N397" s="33">
        <f t="shared" si="63"/>
        <v>5452.5</v>
      </c>
    </row>
    <row r="398" spans="1:14" s="156" customFormat="1" ht="18" x14ac:dyDescent="0.35">
      <c r="A398" s="18"/>
      <c r="B398" s="36" t="s">
        <v>195</v>
      </c>
      <c r="C398" s="32" t="s">
        <v>491</v>
      </c>
      <c r="D398" s="17" t="s">
        <v>106</v>
      </c>
      <c r="E398" s="17" t="s">
        <v>54</v>
      </c>
      <c r="F398" s="659"/>
      <c r="G398" s="660"/>
      <c r="H398" s="660"/>
      <c r="I398" s="661"/>
      <c r="J398" s="17"/>
      <c r="K398" s="33">
        <f t="shared" si="63"/>
        <v>5452.5</v>
      </c>
      <c r="L398" s="33">
        <f t="shared" si="63"/>
        <v>0</v>
      </c>
      <c r="M398" s="33">
        <f t="shared" si="63"/>
        <v>5452.5</v>
      </c>
      <c r="N398" s="33">
        <f t="shared" si="63"/>
        <v>5452.5</v>
      </c>
    </row>
    <row r="399" spans="1:14" s="156" customFormat="1" ht="54" x14ac:dyDescent="0.35">
      <c r="A399" s="18"/>
      <c r="B399" s="31" t="s">
        <v>207</v>
      </c>
      <c r="C399" s="32" t="s">
        <v>491</v>
      </c>
      <c r="D399" s="17" t="s">
        <v>106</v>
      </c>
      <c r="E399" s="17" t="s">
        <v>54</v>
      </c>
      <c r="F399" s="659" t="s">
        <v>41</v>
      </c>
      <c r="G399" s="660" t="s">
        <v>44</v>
      </c>
      <c r="H399" s="660" t="s">
        <v>45</v>
      </c>
      <c r="I399" s="661" t="s">
        <v>46</v>
      </c>
      <c r="J399" s="17"/>
      <c r="K399" s="33">
        <f t="shared" ref="K399:N401" si="64">K400</f>
        <v>5452.5</v>
      </c>
      <c r="L399" s="33">
        <f t="shared" si="64"/>
        <v>0</v>
      </c>
      <c r="M399" s="33">
        <f t="shared" si="64"/>
        <v>5452.5</v>
      </c>
      <c r="N399" s="33">
        <f t="shared" si="64"/>
        <v>5452.5</v>
      </c>
    </row>
    <row r="400" spans="1:14" s="156" customFormat="1" ht="36" x14ac:dyDescent="0.35">
      <c r="A400" s="18"/>
      <c r="B400" s="31" t="s">
        <v>208</v>
      </c>
      <c r="C400" s="32" t="s">
        <v>491</v>
      </c>
      <c r="D400" s="17" t="s">
        <v>106</v>
      </c>
      <c r="E400" s="17" t="s">
        <v>54</v>
      </c>
      <c r="F400" s="659" t="s">
        <v>41</v>
      </c>
      <c r="G400" s="660" t="s">
        <v>47</v>
      </c>
      <c r="H400" s="660" t="s">
        <v>45</v>
      </c>
      <c r="I400" s="661" t="s">
        <v>46</v>
      </c>
      <c r="J400" s="17"/>
      <c r="K400" s="33">
        <f t="shared" si="64"/>
        <v>5452.5</v>
      </c>
      <c r="L400" s="33">
        <f t="shared" si="64"/>
        <v>0</v>
      </c>
      <c r="M400" s="33">
        <f t="shared" si="64"/>
        <v>5452.5</v>
      </c>
      <c r="N400" s="33">
        <f t="shared" si="64"/>
        <v>5452.5</v>
      </c>
    </row>
    <row r="401" spans="1:14" s="156" customFormat="1" ht="36" x14ac:dyDescent="0.35">
      <c r="A401" s="18"/>
      <c r="B401" s="31" t="s">
        <v>269</v>
      </c>
      <c r="C401" s="32" t="s">
        <v>491</v>
      </c>
      <c r="D401" s="17" t="s">
        <v>106</v>
      </c>
      <c r="E401" s="17" t="s">
        <v>54</v>
      </c>
      <c r="F401" s="659" t="s">
        <v>41</v>
      </c>
      <c r="G401" s="660" t="s">
        <v>47</v>
      </c>
      <c r="H401" s="660" t="s">
        <v>39</v>
      </c>
      <c r="I401" s="661" t="s">
        <v>46</v>
      </c>
      <c r="J401" s="17"/>
      <c r="K401" s="33">
        <f t="shared" si="64"/>
        <v>5452.5</v>
      </c>
      <c r="L401" s="33">
        <f t="shared" si="64"/>
        <v>0</v>
      </c>
      <c r="M401" s="33">
        <f t="shared" si="64"/>
        <v>5452.5</v>
      </c>
      <c r="N401" s="33">
        <f t="shared" si="64"/>
        <v>5452.5</v>
      </c>
    </row>
    <row r="402" spans="1:14" s="156" customFormat="1" ht="133.5" customHeight="1" x14ac:dyDescent="0.35">
      <c r="A402" s="18"/>
      <c r="B402" s="31" t="s">
        <v>285</v>
      </c>
      <c r="C402" s="32" t="s">
        <v>491</v>
      </c>
      <c r="D402" s="17" t="s">
        <v>106</v>
      </c>
      <c r="E402" s="17" t="s">
        <v>54</v>
      </c>
      <c r="F402" s="659" t="s">
        <v>41</v>
      </c>
      <c r="G402" s="660" t="s">
        <v>47</v>
      </c>
      <c r="H402" s="660" t="s">
        <v>39</v>
      </c>
      <c r="I402" s="661" t="s">
        <v>286</v>
      </c>
      <c r="J402" s="17"/>
      <c r="K402" s="33">
        <f>K403+K404</f>
        <v>5452.5</v>
      </c>
      <c r="L402" s="33">
        <f>L403+L404</f>
        <v>0</v>
      </c>
      <c r="M402" s="33">
        <f>M403+M404</f>
        <v>5452.5</v>
      </c>
      <c r="N402" s="33">
        <f>N403+N404</f>
        <v>5452.5</v>
      </c>
    </row>
    <row r="403" spans="1:14" s="156" customFormat="1" ht="54" x14ac:dyDescent="0.35">
      <c r="A403" s="18"/>
      <c r="B403" s="31" t="s">
        <v>57</v>
      </c>
      <c r="C403" s="32" t="s">
        <v>491</v>
      </c>
      <c r="D403" s="17" t="s">
        <v>106</v>
      </c>
      <c r="E403" s="17" t="s">
        <v>54</v>
      </c>
      <c r="F403" s="659" t="s">
        <v>41</v>
      </c>
      <c r="G403" s="660" t="s">
        <v>47</v>
      </c>
      <c r="H403" s="660" t="s">
        <v>39</v>
      </c>
      <c r="I403" s="661" t="s">
        <v>286</v>
      </c>
      <c r="J403" s="17" t="s">
        <v>58</v>
      </c>
      <c r="K403" s="33">
        <v>80.5</v>
      </c>
      <c r="L403" s="33">
        <f>M403-K403</f>
        <v>0</v>
      </c>
      <c r="M403" s="33">
        <v>80.5</v>
      </c>
      <c r="N403" s="33">
        <v>80.5</v>
      </c>
    </row>
    <row r="404" spans="1:14" s="156" customFormat="1" ht="36" x14ac:dyDescent="0.35">
      <c r="A404" s="18"/>
      <c r="B404" s="35" t="s">
        <v>122</v>
      </c>
      <c r="C404" s="32" t="s">
        <v>491</v>
      </c>
      <c r="D404" s="17" t="s">
        <v>106</v>
      </c>
      <c r="E404" s="17" t="s">
        <v>54</v>
      </c>
      <c r="F404" s="659" t="s">
        <v>41</v>
      </c>
      <c r="G404" s="660" t="s">
        <v>47</v>
      </c>
      <c r="H404" s="660" t="s">
        <v>39</v>
      </c>
      <c r="I404" s="661" t="s">
        <v>286</v>
      </c>
      <c r="J404" s="17" t="s">
        <v>123</v>
      </c>
      <c r="K404" s="33">
        <v>5372</v>
      </c>
      <c r="L404" s="33">
        <f>M404-K404</f>
        <v>0</v>
      </c>
      <c r="M404" s="33">
        <v>5372</v>
      </c>
      <c r="N404" s="33">
        <v>5372</v>
      </c>
    </row>
    <row r="405" spans="1:14" s="158" customFormat="1" ht="18" x14ac:dyDescent="0.35">
      <c r="A405" s="18"/>
      <c r="B405" s="31"/>
      <c r="C405" s="32"/>
      <c r="D405" s="17"/>
      <c r="E405" s="17"/>
      <c r="F405" s="659"/>
      <c r="G405" s="660"/>
      <c r="H405" s="660"/>
      <c r="I405" s="661"/>
      <c r="J405" s="17"/>
      <c r="K405" s="33"/>
      <c r="L405" s="33"/>
      <c r="M405" s="33"/>
      <c r="N405" s="33"/>
    </row>
    <row r="406" spans="1:14" s="152" customFormat="1" ht="52.2" x14ac:dyDescent="0.3">
      <c r="A406" s="151">
        <v>6</v>
      </c>
      <c r="B406" s="189" t="s">
        <v>9</v>
      </c>
      <c r="C406" s="26" t="s">
        <v>318</v>
      </c>
      <c r="D406" s="27"/>
      <c r="E406" s="27"/>
      <c r="F406" s="28"/>
      <c r="G406" s="29"/>
      <c r="H406" s="29"/>
      <c r="I406" s="30"/>
      <c r="J406" s="27"/>
      <c r="K406" s="47">
        <f>K414+K435+K407</f>
        <v>93411.000000000015</v>
      </c>
      <c r="L406" s="47">
        <f>L414+L435+L407</f>
        <v>0</v>
      </c>
      <c r="M406" s="47">
        <f>M414+M435+M407</f>
        <v>93411.000000000015</v>
      </c>
      <c r="N406" s="47">
        <f>N414+N435+N407</f>
        <v>102079.3</v>
      </c>
    </row>
    <row r="407" spans="1:14" s="152" customFormat="1" ht="18" x14ac:dyDescent="0.35">
      <c r="A407" s="151"/>
      <c r="B407" s="31" t="s">
        <v>38</v>
      </c>
      <c r="C407" s="32" t="s">
        <v>318</v>
      </c>
      <c r="D407" s="42" t="s">
        <v>39</v>
      </c>
      <c r="E407" s="27"/>
      <c r="F407" s="28"/>
      <c r="G407" s="29"/>
      <c r="H407" s="29"/>
      <c r="I407" s="30"/>
      <c r="J407" s="27"/>
      <c r="K407" s="275">
        <f t="shared" ref="K407:M411" si="65">K408</f>
        <v>53.3</v>
      </c>
      <c r="L407" s="275">
        <f t="shared" si="65"/>
        <v>0</v>
      </c>
      <c r="M407" s="275">
        <f t="shared" si="65"/>
        <v>53.3</v>
      </c>
      <c r="N407" s="275">
        <f t="shared" ref="N407:N411" si="66">N408</f>
        <v>53.3</v>
      </c>
    </row>
    <row r="408" spans="1:14" s="152" customFormat="1" ht="18" x14ac:dyDescent="0.35">
      <c r="A408" s="151"/>
      <c r="B408" s="31" t="s">
        <v>72</v>
      </c>
      <c r="C408" s="32" t="s">
        <v>318</v>
      </c>
      <c r="D408" s="42" t="s">
        <v>39</v>
      </c>
      <c r="E408" s="42" t="s">
        <v>73</v>
      </c>
      <c r="F408" s="28"/>
      <c r="G408" s="29"/>
      <c r="H408" s="29"/>
      <c r="I408" s="30"/>
      <c r="J408" s="27"/>
      <c r="K408" s="275">
        <f t="shared" ref="K408:N409" si="67">K409</f>
        <v>53.3</v>
      </c>
      <c r="L408" s="275">
        <f t="shared" si="67"/>
        <v>0</v>
      </c>
      <c r="M408" s="275">
        <f t="shared" si="67"/>
        <v>53.3</v>
      </c>
      <c r="N408" s="275">
        <f t="shared" si="67"/>
        <v>53.3</v>
      </c>
    </row>
    <row r="409" spans="1:14" s="152" customFormat="1" ht="54" x14ac:dyDescent="0.35">
      <c r="A409" s="151"/>
      <c r="B409" s="37" t="s">
        <v>215</v>
      </c>
      <c r="C409" s="32" t="s">
        <v>318</v>
      </c>
      <c r="D409" s="42" t="s">
        <v>39</v>
      </c>
      <c r="E409" s="42" t="s">
        <v>73</v>
      </c>
      <c r="F409" s="272" t="s">
        <v>65</v>
      </c>
      <c r="G409" s="273" t="s">
        <v>44</v>
      </c>
      <c r="H409" s="273" t="s">
        <v>45</v>
      </c>
      <c r="I409" s="274" t="s">
        <v>46</v>
      </c>
      <c r="J409" s="27"/>
      <c r="K409" s="275">
        <f t="shared" si="67"/>
        <v>53.3</v>
      </c>
      <c r="L409" s="275">
        <f t="shared" si="67"/>
        <v>0</v>
      </c>
      <c r="M409" s="275">
        <f t="shared" si="67"/>
        <v>53.3</v>
      </c>
      <c r="N409" s="275">
        <f t="shared" si="67"/>
        <v>53.3</v>
      </c>
    </row>
    <row r="410" spans="1:14" s="152" customFormat="1" ht="54" x14ac:dyDescent="0.35">
      <c r="A410" s="151"/>
      <c r="B410" s="31" t="s">
        <v>218</v>
      </c>
      <c r="C410" s="32" t="s">
        <v>318</v>
      </c>
      <c r="D410" s="42" t="s">
        <v>39</v>
      </c>
      <c r="E410" s="42" t="s">
        <v>73</v>
      </c>
      <c r="F410" s="272" t="s">
        <v>65</v>
      </c>
      <c r="G410" s="273" t="s">
        <v>32</v>
      </c>
      <c r="H410" s="273" t="s">
        <v>45</v>
      </c>
      <c r="I410" s="274" t="s">
        <v>46</v>
      </c>
      <c r="J410" s="27"/>
      <c r="K410" s="275">
        <f t="shared" si="65"/>
        <v>53.3</v>
      </c>
      <c r="L410" s="275">
        <f t="shared" si="65"/>
        <v>0</v>
      </c>
      <c r="M410" s="275">
        <f t="shared" si="65"/>
        <v>53.3</v>
      </c>
      <c r="N410" s="275">
        <f t="shared" si="66"/>
        <v>53.3</v>
      </c>
    </row>
    <row r="411" spans="1:14" s="152" customFormat="1" ht="36" x14ac:dyDescent="0.35">
      <c r="A411" s="151"/>
      <c r="B411" s="31" t="s">
        <v>360</v>
      </c>
      <c r="C411" s="32" t="s">
        <v>318</v>
      </c>
      <c r="D411" s="42" t="s">
        <v>39</v>
      </c>
      <c r="E411" s="42" t="s">
        <v>73</v>
      </c>
      <c r="F411" s="272" t="s">
        <v>65</v>
      </c>
      <c r="G411" s="273" t="s">
        <v>32</v>
      </c>
      <c r="H411" s="273" t="s">
        <v>41</v>
      </c>
      <c r="I411" s="274" t="s">
        <v>46</v>
      </c>
      <c r="J411" s="27"/>
      <c r="K411" s="275">
        <f t="shared" si="65"/>
        <v>53.3</v>
      </c>
      <c r="L411" s="275">
        <f t="shared" si="65"/>
        <v>0</v>
      </c>
      <c r="M411" s="275">
        <f t="shared" si="65"/>
        <v>53.3</v>
      </c>
      <c r="N411" s="275">
        <f t="shared" si="66"/>
        <v>53.3</v>
      </c>
    </row>
    <row r="412" spans="1:14" s="152" customFormat="1" ht="54" x14ac:dyDescent="0.35">
      <c r="A412" s="151"/>
      <c r="B412" s="31" t="s">
        <v>361</v>
      </c>
      <c r="C412" s="32" t="s">
        <v>318</v>
      </c>
      <c r="D412" s="42" t="s">
        <v>39</v>
      </c>
      <c r="E412" s="42" t="s">
        <v>73</v>
      </c>
      <c r="F412" s="272" t="s">
        <v>65</v>
      </c>
      <c r="G412" s="273" t="s">
        <v>32</v>
      </c>
      <c r="H412" s="273" t="s">
        <v>41</v>
      </c>
      <c r="I412" s="274" t="s">
        <v>107</v>
      </c>
      <c r="J412" s="27"/>
      <c r="K412" s="275">
        <f>K413</f>
        <v>53.3</v>
      </c>
      <c r="L412" s="275">
        <f>L413</f>
        <v>0</v>
      </c>
      <c r="M412" s="275">
        <f>M413</f>
        <v>53.3</v>
      </c>
      <c r="N412" s="275">
        <f>N413</f>
        <v>53.3</v>
      </c>
    </row>
    <row r="413" spans="1:14" s="152" customFormat="1" ht="54" x14ac:dyDescent="0.35">
      <c r="A413" s="151"/>
      <c r="B413" s="31" t="s">
        <v>57</v>
      </c>
      <c r="C413" s="32" t="s">
        <v>318</v>
      </c>
      <c r="D413" s="42" t="s">
        <v>39</v>
      </c>
      <c r="E413" s="42" t="s">
        <v>73</v>
      </c>
      <c r="F413" s="272" t="s">
        <v>65</v>
      </c>
      <c r="G413" s="273" t="s">
        <v>32</v>
      </c>
      <c r="H413" s="273" t="s">
        <v>41</v>
      </c>
      <c r="I413" s="274" t="s">
        <v>107</v>
      </c>
      <c r="J413" s="42" t="s">
        <v>58</v>
      </c>
      <c r="K413" s="275">
        <v>53.3</v>
      </c>
      <c r="L413" s="33">
        <f>M413-K413</f>
        <v>0</v>
      </c>
      <c r="M413" s="275">
        <v>53.3</v>
      </c>
      <c r="N413" s="275">
        <v>53.3</v>
      </c>
    </row>
    <row r="414" spans="1:14" s="14" customFormat="1" ht="18" x14ac:dyDescent="0.35">
      <c r="A414" s="18"/>
      <c r="B414" s="37" t="s">
        <v>181</v>
      </c>
      <c r="C414" s="32" t="s">
        <v>318</v>
      </c>
      <c r="D414" s="17" t="s">
        <v>226</v>
      </c>
      <c r="E414" s="17"/>
      <c r="F414" s="659"/>
      <c r="G414" s="660"/>
      <c r="H414" s="660"/>
      <c r="I414" s="661"/>
      <c r="J414" s="17"/>
      <c r="K414" s="33">
        <f>K415+K423+K429</f>
        <v>59487.3</v>
      </c>
      <c r="L414" s="33">
        <f>L415+L423+L429</f>
        <v>0</v>
      </c>
      <c r="M414" s="33">
        <f>M415+M423+M429</f>
        <v>59487.3</v>
      </c>
      <c r="N414" s="33">
        <f>N415+N423+N429</f>
        <v>65127.9</v>
      </c>
    </row>
    <row r="415" spans="1:14" s="152" customFormat="1" ht="18" x14ac:dyDescent="0.35">
      <c r="A415" s="18"/>
      <c r="B415" s="37" t="s">
        <v>358</v>
      </c>
      <c r="C415" s="32" t="s">
        <v>318</v>
      </c>
      <c r="D415" s="17" t="s">
        <v>226</v>
      </c>
      <c r="E415" s="17" t="s">
        <v>65</v>
      </c>
      <c r="F415" s="659"/>
      <c r="G415" s="660"/>
      <c r="H415" s="660"/>
      <c r="I415" s="661"/>
      <c r="J415" s="17"/>
      <c r="K415" s="33">
        <f t="shared" ref="K415:M416" si="68">K416</f>
        <v>58973.3</v>
      </c>
      <c r="L415" s="33">
        <f t="shared" si="68"/>
        <v>0</v>
      </c>
      <c r="M415" s="33">
        <f t="shared" si="68"/>
        <v>58973.3</v>
      </c>
      <c r="N415" s="33">
        <f t="shared" ref="N415" si="69">N416</f>
        <v>64613.9</v>
      </c>
    </row>
    <row r="416" spans="1:14" s="152" customFormat="1" ht="54" x14ac:dyDescent="0.35">
      <c r="A416" s="18"/>
      <c r="B416" s="37" t="s">
        <v>215</v>
      </c>
      <c r="C416" s="32" t="s">
        <v>318</v>
      </c>
      <c r="D416" s="17" t="s">
        <v>226</v>
      </c>
      <c r="E416" s="17" t="s">
        <v>65</v>
      </c>
      <c r="F416" s="659" t="s">
        <v>65</v>
      </c>
      <c r="G416" s="660" t="s">
        <v>44</v>
      </c>
      <c r="H416" s="660" t="s">
        <v>45</v>
      </c>
      <c r="I416" s="661" t="s">
        <v>46</v>
      </c>
      <c r="J416" s="17"/>
      <c r="K416" s="33">
        <f t="shared" si="68"/>
        <v>58973.3</v>
      </c>
      <c r="L416" s="33">
        <f t="shared" si="68"/>
        <v>0</v>
      </c>
      <c r="M416" s="33">
        <f t="shared" si="68"/>
        <v>58973.3</v>
      </c>
      <c r="N416" s="33">
        <f>N417</f>
        <v>64613.9</v>
      </c>
    </row>
    <row r="417" spans="1:14" s="152" customFormat="1" ht="72" x14ac:dyDescent="0.35">
      <c r="A417" s="18"/>
      <c r="B417" s="37" t="s">
        <v>216</v>
      </c>
      <c r="C417" s="32" t="s">
        <v>318</v>
      </c>
      <c r="D417" s="17" t="s">
        <v>226</v>
      </c>
      <c r="E417" s="17" t="s">
        <v>65</v>
      </c>
      <c r="F417" s="659" t="s">
        <v>65</v>
      </c>
      <c r="G417" s="660" t="s">
        <v>47</v>
      </c>
      <c r="H417" s="660" t="s">
        <v>45</v>
      </c>
      <c r="I417" s="661" t="s">
        <v>46</v>
      </c>
      <c r="J417" s="17"/>
      <c r="K417" s="33">
        <f t="shared" ref="K417:N419" si="70">K418</f>
        <v>58973.3</v>
      </c>
      <c r="L417" s="33">
        <f t="shared" si="70"/>
        <v>0</v>
      </c>
      <c r="M417" s="33">
        <f t="shared" si="70"/>
        <v>58973.3</v>
      </c>
      <c r="N417" s="33">
        <f t="shared" si="70"/>
        <v>64613.9</v>
      </c>
    </row>
    <row r="418" spans="1:14" s="152" customFormat="1" ht="36" x14ac:dyDescent="0.35">
      <c r="A418" s="18"/>
      <c r="B418" s="37" t="s">
        <v>278</v>
      </c>
      <c r="C418" s="32" t="s">
        <v>318</v>
      </c>
      <c r="D418" s="17" t="s">
        <v>226</v>
      </c>
      <c r="E418" s="17" t="s">
        <v>65</v>
      </c>
      <c r="F418" s="659" t="s">
        <v>65</v>
      </c>
      <c r="G418" s="660" t="s">
        <v>47</v>
      </c>
      <c r="H418" s="660" t="s">
        <v>39</v>
      </c>
      <c r="I418" s="661" t="s">
        <v>46</v>
      </c>
      <c r="J418" s="17"/>
      <c r="K418" s="33">
        <f>K419+K421</f>
        <v>58973.3</v>
      </c>
      <c r="L418" s="33">
        <f>L419+L421</f>
        <v>0</v>
      </c>
      <c r="M418" s="33">
        <f>M419+M421</f>
        <v>58973.3</v>
      </c>
      <c r="N418" s="33">
        <f>N419+N421</f>
        <v>64613.9</v>
      </c>
    </row>
    <row r="419" spans="1:14" s="152" customFormat="1" ht="36" x14ac:dyDescent="0.35">
      <c r="A419" s="18"/>
      <c r="B419" s="112" t="s">
        <v>540</v>
      </c>
      <c r="C419" s="32" t="s">
        <v>318</v>
      </c>
      <c r="D419" s="17" t="s">
        <v>226</v>
      </c>
      <c r="E419" s="17" t="s">
        <v>65</v>
      </c>
      <c r="F419" s="659" t="s">
        <v>65</v>
      </c>
      <c r="G419" s="660" t="s">
        <v>47</v>
      </c>
      <c r="H419" s="660" t="s">
        <v>39</v>
      </c>
      <c r="I419" s="661" t="s">
        <v>93</v>
      </c>
      <c r="J419" s="17"/>
      <c r="K419" s="33">
        <f t="shared" si="70"/>
        <v>56990</v>
      </c>
      <c r="L419" s="33">
        <f t="shared" si="70"/>
        <v>0</v>
      </c>
      <c r="M419" s="33">
        <f t="shared" si="70"/>
        <v>56990</v>
      </c>
      <c r="N419" s="33">
        <f t="shared" si="70"/>
        <v>62630.6</v>
      </c>
    </row>
    <row r="420" spans="1:14" s="14" customFormat="1" ht="54" x14ac:dyDescent="0.35">
      <c r="A420" s="18"/>
      <c r="B420" s="35" t="s">
        <v>78</v>
      </c>
      <c r="C420" s="32" t="s">
        <v>318</v>
      </c>
      <c r="D420" s="17" t="s">
        <v>226</v>
      </c>
      <c r="E420" s="17" t="s">
        <v>65</v>
      </c>
      <c r="F420" s="659" t="s">
        <v>65</v>
      </c>
      <c r="G420" s="660" t="s">
        <v>47</v>
      </c>
      <c r="H420" s="660" t="s">
        <v>39</v>
      </c>
      <c r="I420" s="661" t="s">
        <v>93</v>
      </c>
      <c r="J420" s="17" t="s">
        <v>79</v>
      </c>
      <c r="K420" s="33">
        <v>56990</v>
      </c>
      <c r="L420" s="33">
        <f>M420-K420</f>
        <v>0</v>
      </c>
      <c r="M420" s="33">
        <v>56990</v>
      </c>
      <c r="N420" s="33">
        <v>62630.6</v>
      </c>
    </row>
    <row r="421" spans="1:14" s="14" customFormat="1" ht="36" x14ac:dyDescent="0.35">
      <c r="A421" s="18"/>
      <c r="B421" s="35" t="s">
        <v>319</v>
      </c>
      <c r="C421" s="32" t="s">
        <v>318</v>
      </c>
      <c r="D421" s="17" t="s">
        <v>226</v>
      </c>
      <c r="E421" s="17" t="s">
        <v>65</v>
      </c>
      <c r="F421" s="659" t="s">
        <v>65</v>
      </c>
      <c r="G421" s="660" t="s">
        <v>47</v>
      </c>
      <c r="H421" s="660" t="s">
        <v>39</v>
      </c>
      <c r="I421" s="661" t="s">
        <v>320</v>
      </c>
      <c r="J421" s="17"/>
      <c r="K421" s="33">
        <f>K422</f>
        <v>1983.3</v>
      </c>
      <c r="L421" s="33">
        <f>L422</f>
        <v>0</v>
      </c>
      <c r="M421" s="33">
        <f>M422</f>
        <v>1983.3</v>
      </c>
      <c r="N421" s="33">
        <f>N422</f>
        <v>1983.3</v>
      </c>
    </row>
    <row r="422" spans="1:14" s="14" customFormat="1" ht="54" x14ac:dyDescent="0.35">
      <c r="A422" s="18"/>
      <c r="B422" s="35" t="s">
        <v>78</v>
      </c>
      <c r="C422" s="32" t="s">
        <v>318</v>
      </c>
      <c r="D422" s="17" t="s">
        <v>226</v>
      </c>
      <c r="E422" s="17" t="s">
        <v>65</v>
      </c>
      <c r="F422" s="659" t="s">
        <v>65</v>
      </c>
      <c r="G422" s="660" t="s">
        <v>47</v>
      </c>
      <c r="H422" s="660" t="s">
        <v>39</v>
      </c>
      <c r="I422" s="661" t="s">
        <v>320</v>
      </c>
      <c r="J422" s="17" t="s">
        <v>79</v>
      </c>
      <c r="K422" s="33">
        <v>1983.3</v>
      </c>
      <c r="L422" s="33">
        <f>M422-K422</f>
        <v>0</v>
      </c>
      <c r="M422" s="33">
        <v>1983.3</v>
      </c>
      <c r="N422" s="33">
        <v>1983.3</v>
      </c>
    </row>
    <row r="423" spans="1:14" s="14" customFormat="1" ht="18" x14ac:dyDescent="0.35">
      <c r="A423" s="18"/>
      <c r="B423" s="35" t="s">
        <v>551</v>
      </c>
      <c r="C423" s="32" t="s">
        <v>318</v>
      </c>
      <c r="D423" s="17" t="s">
        <v>226</v>
      </c>
      <c r="E423" s="17" t="s">
        <v>226</v>
      </c>
      <c r="F423" s="659"/>
      <c r="G423" s="660"/>
      <c r="H423" s="660"/>
      <c r="I423" s="661"/>
      <c r="J423" s="17"/>
      <c r="K423" s="33">
        <f t="shared" ref="K423:M427" si="71">K424</f>
        <v>289</v>
      </c>
      <c r="L423" s="33">
        <f t="shared" si="71"/>
        <v>0</v>
      </c>
      <c r="M423" s="33">
        <f t="shared" si="71"/>
        <v>289</v>
      </c>
      <c r="N423" s="33">
        <f t="shared" ref="N423:N426" si="72">N424</f>
        <v>289</v>
      </c>
    </row>
    <row r="424" spans="1:14" s="14" customFormat="1" ht="54" x14ac:dyDescent="0.35">
      <c r="A424" s="18"/>
      <c r="B424" s="37" t="s">
        <v>215</v>
      </c>
      <c r="C424" s="32" t="s">
        <v>318</v>
      </c>
      <c r="D424" s="17" t="s">
        <v>226</v>
      </c>
      <c r="E424" s="17" t="s">
        <v>226</v>
      </c>
      <c r="F424" s="659" t="s">
        <v>65</v>
      </c>
      <c r="G424" s="660" t="s">
        <v>44</v>
      </c>
      <c r="H424" s="660" t="s">
        <v>45</v>
      </c>
      <c r="I424" s="661" t="s">
        <v>46</v>
      </c>
      <c r="J424" s="17"/>
      <c r="K424" s="33">
        <f t="shared" si="71"/>
        <v>289</v>
      </c>
      <c r="L424" s="33">
        <f t="shared" si="71"/>
        <v>0</v>
      </c>
      <c r="M424" s="33">
        <f t="shared" si="71"/>
        <v>289</v>
      </c>
      <c r="N424" s="33">
        <f t="shared" si="72"/>
        <v>289</v>
      </c>
    </row>
    <row r="425" spans="1:14" s="14" customFormat="1" ht="72" x14ac:dyDescent="0.35">
      <c r="A425" s="18"/>
      <c r="B425" s="37" t="s">
        <v>216</v>
      </c>
      <c r="C425" s="32" t="s">
        <v>318</v>
      </c>
      <c r="D425" s="17" t="s">
        <v>226</v>
      </c>
      <c r="E425" s="17" t="s">
        <v>226</v>
      </c>
      <c r="F425" s="659" t="s">
        <v>65</v>
      </c>
      <c r="G425" s="660" t="s">
        <v>47</v>
      </c>
      <c r="H425" s="660" t="s">
        <v>45</v>
      </c>
      <c r="I425" s="661" t="s">
        <v>46</v>
      </c>
      <c r="J425" s="17"/>
      <c r="K425" s="33">
        <f t="shared" si="71"/>
        <v>289</v>
      </c>
      <c r="L425" s="33">
        <f t="shared" si="71"/>
        <v>0</v>
      </c>
      <c r="M425" s="33">
        <f t="shared" si="71"/>
        <v>289</v>
      </c>
      <c r="N425" s="33">
        <f t="shared" si="72"/>
        <v>289</v>
      </c>
    </row>
    <row r="426" spans="1:14" s="14" customFormat="1" ht="58.5" customHeight="1" x14ac:dyDescent="0.35">
      <c r="A426" s="18"/>
      <c r="B426" s="35" t="s">
        <v>283</v>
      </c>
      <c r="C426" s="32" t="s">
        <v>318</v>
      </c>
      <c r="D426" s="17" t="s">
        <v>226</v>
      </c>
      <c r="E426" s="17" t="s">
        <v>226</v>
      </c>
      <c r="F426" s="659" t="s">
        <v>65</v>
      </c>
      <c r="G426" s="660" t="s">
        <v>47</v>
      </c>
      <c r="H426" s="660" t="s">
        <v>67</v>
      </c>
      <c r="I426" s="661" t="s">
        <v>46</v>
      </c>
      <c r="J426" s="17"/>
      <c r="K426" s="33">
        <f t="shared" si="71"/>
        <v>289</v>
      </c>
      <c r="L426" s="33">
        <f t="shared" si="71"/>
        <v>0</v>
      </c>
      <c r="M426" s="33">
        <f t="shared" si="71"/>
        <v>289</v>
      </c>
      <c r="N426" s="33">
        <f t="shared" si="72"/>
        <v>289</v>
      </c>
    </row>
    <row r="427" spans="1:14" s="14" customFormat="1" ht="36" x14ac:dyDescent="0.35">
      <c r="A427" s="18"/>
      <c r="B427" s="35" t="s">
        <v>553</v>
      </c>
      <c r="C427" s="32" t="s">
        <v>318</v>
      </c>
      <c r="D427" s="17" t="s">
        <v>226</v>
      </c>
      <c r="E427" s="17" t="s">
        <v>226</v>
      </c>
      <c r="F427" s="659" t="s">
        <v>65</v>
      </c>
      <c r="G427" s="660" t="s">
        <v>47</v>
      </c>
      <c r="H427" s="660" t="s">
        <v>67</v>
      </c>
      <c r="I427" s="661" t="s">
        <v>552</v>
      </c>
      <c r="J427" s="17"/>
      <c r="K427" s="33">
        <f t="shared" si="71"/>
        <v>289</v>
      </c>
      <c r="L427" s="33">
        <f t="shared" si="71"/>
        <v>0</v>
      </c>
      <c r="M427" s="33">
        <f t="shared" si="71"/>
        <v>289</v>
      </c>
      <c r="N427" s="33">
        <f>N428</f>
        <v>289</v>
      </c>
    </row>
    <row r="428" spans="1:14" s="14" customFormat="1" ht="54" x14ac:dyDescent="0.35">
      <c r="A428" s="18"/>
      <c r="B428" s="35" t="s">
        <v>78</v>
      </c>
      <c r="C428" s="32" t="s">
        <v>318</v>
      </c>
      <c r="D428" s="17" t="s">
        <v>226</v>
      </c>
      <c r="E428" s="17" t="s">
        <v>226</v>
      </c>
      <c r="F428" s="659" t="s">
        <v>65</v>
      </c>
      <c r="G428" s="660" t="s">
        <v>47</v>
      </c>
      <c r="H428" s="660" t="s">
        <v>67</v>
      </c>
      <c r="I428" s="661" t="s">
        <v>552</v>
      </c>
      <c r="J428" s="17" t="s">
        <v>79</v>
      </c>
      <c r="K428" s="33">
        <v>289</v>
      </c>
      <c r="L428" s="33">
        <f>M428-K428</f>
        <v>0</v>
      </c>
      <c r="M428" s="33">
        <v>289</v>
      </c>
      <c r="N428" s="33">
        <v>289</v>
      </c>
    </row>
    <row r="429" spans="1:14" s="14" customFormat="1" ht="18" x14ac:dyDescent="0.35">
      <c r="A429" s="18"/>
      <c r="B429" s="31" t="s">
        <v>188</v>
      </c>
      <c r="C429" s="32" t="s">
        <v>318</v>
      </c>
      <c r="D429" s="17" t="s">
        <v>226</v>
      </c>
      <c r="E429" s="17" t="s">
        <v>81</v>
      </c>
      <c r="F429" s="659"/>
      <c r="G429" s="660"/>
      <c r="H429" s="660"/>
      <c r="I429" s="661"/>
      <c r="J429" s="17"/>
      <c r="K429" s="33">
        <f t="shared" ref="K429:N433" si="73">K430</f>
        <v>225</v>
      </c>
      <c r="L429" s="33">
        <f t="shared" si="73"/>
        <v>0</v>
      </c>
      <c r="M429" s="33">
        <f t="shared" si="73"/>
        <v>225</v>
      </c>
      <c r="N429" s="33">
        <f t="shared" si="73"/>
        <v>225</v>
      </c>
    </row>
    <row r="430" spans="1:14" s="14" customFormat="1" ht="54" x14ac:dyDescent="0.35">
      <c r="A430" s="18"/>
      <c r="B430" s="37" t="s">
        <v>215</v>
      </c>
      <c r="C430" s="32" t="s">
        <v>318</v>
      </c>
      <c r="D430" s="17" t="s">
        <v>226</v>
      </c>
      <c r="E430" s="17" t="s">
        <v>81</v>
      </c>
      <c r="F430" s="659" t="s">
        <v>65</v>
      </c>
      <c r="G430" s="660" t="s">
        <v>44</v>
      </c>
      <c r="H430" s="660" t="s">
        <v>45</v>
      </c>
      <c r="I430" s="661" t="s">
        <v>46</v>
      </c>
      <c r="J430" s="17"/>
      <c r="K430" s="33">
        <f t="shared" si="73"/>
        <v>225</v>
      </c>
      <c r="L430" s="33">
        <f t="shared" si="73"/>
        <v>0</v>
      </c>
      <c r="M430" s="33">
        <f t="shared" si="73"/>
        <v>225</v>
      </c>
      <c r="N430" s="33">
        <f t="shared" si="73"/>
        <v>225</v>
      </c>
    </row>
    <row r="431" spans="1:14" s="14" customFormat="1" ht="72" x14ac:dyDescent="0.35">
      <c r="A431" s="18"/>
      <c r="B431" s="37" t="s">
        <v>216</v>
      </c>
      <c r="C431" s="32" t="s">
        <v>318</v>
      </c>
      <c r="D431" s="17" t="s">
        <v>226</v>
      </c>
      <c r="E431" s="17" t="s">
        <v>81</v>
      </c>
      <c r="F431" s="659" t="s">
        <v>65</v>
      </c>
      <c r="G431" s="660" t="s">
        <v>47</v>
      </c>
      <c r="H431" s="660" t="s">
        <v>45</v>
      </c>
      <c r="I431" s="661" t="s">
        <v>46</v>
      </c>
      <c r="J431" s="17"/>
      <c r="K431" s="33">
        <f t="shared" si="73"/>
        <v>225</v>
      </c>
      <c r="L431" s="33">
        <f t="shared" si="73"/>
        <v>0</v>
      </c>
      <c r="M431" s="33">
        <f t="shared" si="73"/>
        <v>225</v>
      </c>
      <c r="N431" s="33">
        <f t="shared" si="73"/>
        <v>225</v>
      </c>
    </row>
    <row r="432" spans="1:14" s="14" customFormat="1" ht="18" x14ac:dyDescent="0.35">
      <c r="A432" s="18"/>
      <c r="B432" s="35" t="s">
        <v>279</v>
      </c>
      <c r="C432" s="32" t="s">
        <v>318</v>
      </c>
      <c r="D432" s="17" t="s">
        <v>226</v>
      </c>
      <c r="E432" s="17" t="s">
        <v>81</v>
      </c>
      <c r="F432" s="659" t="s">
        <v>65</v>
      </c>
      <c r="G432" s="660" t="s">
        <v>47</v>
      </c>
      <c r="H432" s="660" t="s">
        <v>41</v>
      </c>
      <c r="I432" s="661" t="s">
        <v>46</v>
      </c>
      <c r="J432" s="17"/>
      <c r="K432" s="33">
        <f t="shared" si="73"/>
        <v>225</v>
      </c>
      <c r="L432" s="33">
        <f t="shared" si="73"/>
        <v>0</v>
      </c>
      <c r="M432" s="33">
        <f t="shared" si="73"/>
        <v>225</v>
      </c>
      <c r="N432" s="33">
        <f t="shared" si="73"/>
        <v>225</v>
      </c>
    </row>
    <row r="433" spans="1:14" s="14" customFormat="1" ht="36" x14ac:dyDescent="0.35">
      <c r="A433" s="18"/>
      <c r="B433" s="35" t="s">
        <v>213</v>
      </c>
      <c r="C433" s="32" t="s">
        <v>318</v>
      </c>
      <c r="D433" s="17" t="s">
        <v>226</v>
      </c>
      <c r="E433" s="17" t="s">
        <v>81</v>
      </c>
      <c r="F433" s="659" t="s">
        <v>65</v>
      </c>
      <c r="G433" s="660" t="s">
        <v>47</v>
      </c>
      <c r="H433" s="660" t="s">
        <v>41</v>
      </c>
      <c r="I433" s="661" t="s">
        <v>281</v>
      </c>
      <c r="J433" s="17"/>
      <c r="K433" s="33">
        <f t="shared" si="73"/>
        <v>225</v>
      </c>
      <c r="L433" s="33">
        <f t="shared" si="73"/>
        <v>0</v>
      </c>
      <c r="M433" s="33">
        <f t="shared" si="73"/>
        <v>225</v>
      </c>
      <c r="N433" s="33">
        <f t="shared" si="73"/>
        <v>225</v>
      </c>
    </row>
    <row r="434" spans="1:14" s="14" customFormat="1" ht="36" x14ac:dyDescent="0.35">
      <c r="A434" s="18"/>
      <c r="B434" s="35" t="s">
        <v>122</v>
      </c>
      <c r="C434" s="32" t="s">
        <v>318</v>
      </c>
      <c r="D434" s="17" t="s">
        <v>226</v>
      </c>
      <c r="E434" s="17" t="s">
        <v>81</v>
      </c>
      <c r="F434" s="659" t="s">
        <v>65</v>
      </c>
      <c r="G434" s="660" t="s">
        <v>47</v>
      </c>
      <c r="H434" s="660" t="s">
        <v>41</v>
      </c>
      <c r="I434" s="661" t="s">
        <v>281</v>
      </c>
      <c r="J434" s="17" t="s">
        <v>123</v>
      </c>
      <c r="K434" s="33">
        <v>225</v>
      </c>
      <c r="L434" s="33">
        <f>M434-K434</f>
        <v>0</v>
      </c>
      <c r="M434" s="33">
        <v>225</v>
      </c>
      <c r="N434" s="33">
        <v>225</v>
      </c>
    </row>
    <row r="435" spans="1:14" s="14" customFormat="1" ht="18" x14ac:dyDescent="0.35">
      <c r="A435" s="18"/>
      <c r="B435" s="31" t="s">
        <v>190</v>
      </c>
      <c r="C435" s="32" t="s">
        <v>318</v>
      </c>
      <c r="D435" s="17" t="s">
        <v>228</v>
      </c>
      <c r="E435" s="17"/>
      <c r="F435" s="659"/>
      <c r="G435" s="660"/>
      <c r="H435" s="660"/>
      <c r="I435" s="661"/>
      <c r="J435" s="17"/>
      <c r="K435" s="33">
        <f>K436+K456</f>
        <v>33870.400000000001</v>
      </c>
      <c r="L435" s="33">
        <f>L436+L456</f>
        <v>0</v>
      </c>
      <c r="M435" s="33">
        <f>M436+M456</f>
        <v>33870.400000000001</v>
      </c>
      <c r="N435" s="33">
        <f>N436+N456</f>
        <v>36898.1</v>
      </c>
    </row>
    <row r="436" spans="1:14" s="14" customFormat="1" ht="18" x14ac:dyDescent="0.35">
      <c r="A436" s="18"/>
      <c r="B436" s="31" t="s">
        <v>192</v>
      </c>
      <c r="C436" s="32" t="s">
        <v>318</v>
      </c>
      <c r="D436" s="17" t="s">
        <v>228</v>
      </c>
      <c r="E436" s="17" t="s">
        <v>39</v>
      </c>
      <c r="F436" s="659"/>
      <c r="G436" s="660"/>
      <c r="H436" s="660"/>
      <c r="I436" s="661"/>
      <c r="J436" s="17"/>
      <c r="K436" s="33">
        <f t="shared" ref="K436:N436" si="74">K437</f>
        <v>24617.300000000003</v>
      </c>
      <c r="L436" s="33">
        <f t="shared" si="74"/>
        <v>0</v>
      </c>
      <c r="M436" s="33">
        <f t="shared" si="74"/>
        <v>24617.300000000003</v>
      </c>
      <c r="N436" s="33">
        <f t="shared" si="74"/>
        <v>26988.1</v>
      </c>
    </row>
    <row r="437" spans="1:14" s="14" customFormat="1" ht="54" x14ac:dyDescent="0.35">
      <c r="A437" s="18"/>
      <c r="B437" s="37" t="s">
        <v>215</v>
      </c>
      <c r="C437" s="32" t="s">
        <v>318</v>
      </c>
      <c r="D437" s="17" t="s">
        <v>228</v>
      </c>
      <c r="E437" s="17" t="s">
        <v>39</v>
      </c>
      <c r="F437" s="659" t="s">
        <v>65</v>
      </c>
      <c r="G437" s="660" t="s">
        <v>44</v>
      </c>
      <c r="H437" s="660" t="s">
        <v>45</v>
      </c>
      <c r="I437" s="661" t="s">
        <v>46</v>
      </c>
      <c r="J437" s="17"/>
      <c r="K437" s="33">
        <f>K438+K449</f>
        <v>24617.300000000003</v>
      </c>
      <c r="L437" s="33">
        <f>L438+L449</f>
        <v>0</v>
      </c>
      <c r="M437" s="33">
        <f>M438+M449</f>
        <v>24617.300000000003</v>
      </c>
      <c r="N437" s="33">
        <f>N438+N449</f>
        <v>26988.1</v>
      </c>
    </row>
    <row r="438" spans="1:14" s="14" customFormat="1" ht="72" x14ac:dyDescent="0.35">
      <c r="A438" s="18"/>
      <c r="B438" s="37" t="s">
        <v>216</v>
      </c>
      <c r="C438" s="32" t="s">
        <v>318</v>
      </c>
      <c r="D438" s="17" t="s">
        <v>228</v>
      </c>
      <c r="E438" s="17" t="s">
        <v>39</v>
      </c>
      <c r="F438" s="41" t="s">
        <v>65</v>
      </c>
      <c r="G438" s="124" t="s">
        <v>47</v>
      </c>
      <c r="H438" s="124" t="s">
        <v>45</v>
      </c>
      <c r="I438" s="125" t="s">
        <v>46</v>
      </c>
      <c r="J438" s="126"/>
      <c r="K438" s="33">
        <f>K439+K442</f>
        <v>24267.800000000003</v>
      </c>
      <c r="L438" s="33">
        <f>L439+L442</f>
        <v>0</v>
      </c>
      <c r="M438" s="33">
        <f>M439+M442</f>
        <v>24267.800000000003</v>
      </c>
      <c r="N438" s="33">
        <f>N439+N442</f>
        <v>26638.6</v>
      </c>
    </row>
    <row r="439" spans="1:14" s="14" customFormat="1" ht="18" x14ac:dyDescent="0.35">
      <c r="A439" s="18"/>
      <c r="B439" s="31" t="s">
        <v>321</v>
      </c>
      <c r="C439" s="32" t="s">
        <v>318</v>
      </c>
      <c r="D439" s="17" t="s">
        <v>228</v>
      </c>
      <c r="E439" s="17" t="s">
        <v>39</v>
      </c>
      <c r="F439" s="41" t="s">
        <v>65</v>
      </c>
      <c r="G439" s="124" t="s">
        <v>47</v>
      </c>
      <c r="H439" s="124" t="s">
        <v>65</v>
      </c>
      <c r="I439" s="125" t="s">
        <v>46</v>
      </c>
      <c r="J439" s="126"/>
      <c r="K439" s="33">
        <f t="shared" ref="K439:N440" si="75">K440</f>
        <v>11243.5</v>
      </c>
      <c r="L439" s="33">
        <f t="shared" si="75"/>
        <v>0</v>
      </c>
      <c r="M439" s="33">
        <f t="shared" si="75"/>
        <v>11243.5</v>
      </c>
      <c r="N439" s="33">
        <f t="shared" si="75"/>
        <v>12367.9</v>
      </c>
    </row>
    <row r="440" spans="1:14" s="14" customFormat="1" ht="41.25" customHeight="1" x14ac:dyDescent="0.35">
      <c r="A440" s="18"/>
      <c r="B440" s="112" t="s">
        <v>540</v>
      </c>
      <c r="C440" s="32" t="s">
        <v>318</v>
      </c>
      <c r="D440" s="17" t="s">
        <v>228</v>
      </c>
      <c r="E440" s="17" t="s">
        <v>39</v>
      </c>
      <c r="F440" s="41" t="s">
        <v>65</v>
      </c>
      <c r="G440" s="124" t="s">
        <v>47</v>
      </c>
      <c r="H440" s="124" t="s">
        <v>65</v>
      </c>
      <c r="I440" s="125" t="s">
        <v>93</v>
      </c>
      <c r="J440" s="126"/>
      <c r="K440" s="33">
        <f t="shared" si="75"/>
        <v>11243.5</v>
      </c>
      <c r="L440" s="33">
        <f t="shared" si="75"/>
        <v>0</v>
      </c>
      <c r="M440" s="33">
        <f t="shared" si="75"/>
        <v>11243.5</v>
      </c>
      <c r="N440" s="33">
        <f t="shared" si="75"/>
        <v>12367.9</v>
      </c>
    </row>
    <row r="441" spans="1:14" s="14" customFormat="1" ht="54" x14ac:dyDescent="0.35">
      <c r="A441" s="18"/>
      <c r="B441" s="35" t="s">
        <v>78</v>
      </c>
      <c r="C441" s="32" t="s">
        <v>318</v>
      </c>
      <c r="D441" s="17" t="s">
        <v>228</v>
      </c>
      <c r="E441" s="17" t="s">
        <v>39</v>
      </c>
      <c r="F441" s="659" t="s">
        <v>65</v>
      </c>
      <c r="G441" s="660" t="s">
        <v>47</v>
      </c>
      <c r="H441" s="660" t="s">
        <v>65</v>
      </c>
      <c r="I441" s="661" t="s">
        <v>93</v>
      </c>
      <c r="J441" s="17" t="s">
        <v>79</v>
      </c>
      <c r="K441" s="33">
        <v>11243.5</v>
      </c>
      <c r="L441" s="33">
        <f>M441-K441</f>
        <v>0</v>
      </c>
      <c r="M441" s="33">
        <v>11243.5</v>
      </c>
      <c r="N441" s="33">
        <v>12367.9</v>
      </c>
    </row>
    <row r="442" spans="1:14" s="14" customFormat="1" ht="36" x14ac:dyDescent="0.35">
      <c r="A442" s="18"/>
      <c r="B442" s="35" t="s">
        <v>323</v>
      </c>
      <c r="C442" s="32" t="s">
        <v>318</v>
      </c>
      <c r="D442" s="17" t="s">
        <v>228</v>
      </c>
      <c r="E442" s="17" t="s">
        <v>39</v>
      </c>
      <c r="F442" s="41" t="s">
        <v>65</v>
      </c>
      <c r="G442" s="124" t="s">
        <v>47</v>
      </c>
      <c r="H442" s="124" t="s">
        <v>54</v>
      </c>
      <c r="I442" s="661" t="s">
        <v>46</v>
      </c>
      <c r="J442" s="17"/>
      <c r="K442" s="33">
        <f>K443</f>
        <v>13024.300000000001</v>
      </c>
      <c r="L442" s="33">
        <f>L443+L447</f>
        <v>0</v>
      </c>
      <c r="M442" s="33">
        <f>M443+M447</f>
        <v>13024.300000000001</v>
      </c>
      <c r="N442" s="33">
        <f>N443+N447</f>
        <v>14270.7</v>
      </c>
    </row>
    <row r="443" spans="1:14" s="14" customFormat="1" ht="37.5" customHeight="1" x14ac:dyDescent="0.35">
      <c r="A443" s="18"/>
      <c r="B443" s="112" t="s">
        <v>540</v>
      </c>
      <c r="C443" s="32" t="s">
        <v>318</v>
      </c>
      <c r="D443" s="17" t="s">
        <v>228</v>
      </c>
      <c r="E443" s="17" t="s">
        <v>39</v>
      </c>
      <c r="F443" s="41" t="s">
        <v>65</v>
      </c>
      <c r="G443" s="124" t="s">
        <v>47</v>
      </c>
      <c r="H443" s="124" t="s">
        <v>54</v>
      </c>
      <c r="I443" s="125" t="s">
        <v>93</v>
      </c>
      <c r="J443" s="126"/>
      <c r="K443" s="33">
        <f>K444+K445+K446</f>
        <v>13024.300000000001</v>
      </c>
      <c r="L443" s="33">
        <f>L444+L445+L446</f>
        <v>-1977.7999999999993</v>
      </c>
      <c r="M443" s="33">
        <f>M444+M445+M446</f>
        <v>11046.500000000002</v>
      </c>
      <c r="N443" s="33">
        <f>N444+N445+N446</f>
        <v>14270.7</v>
      </c>
    </row>
    <row r="444" spans="1:14" s="14" customFormat="1" ht="108" x14ac:dyDescent="0.35">
      <c r="A444" s="18"/>
      <c r="B444" s="31" t="s">
        <v>51</v>
      </c>
      <c r="C444" s="32" t="s">
        <v>318</v>
      </c>
      <c r="D444" s="17" t="s">
        <v>228</v>
      </c>
      <c r="E444" s="17" t="s">
        <v>39</v>
      </c>
      <c r="F444" s="659" t="s">
        <v>65</v>
      </c>
      <c r="G444" s="660" t="s">
        <v>47</v>
      </c>
      <c r="H444" s="660" t="s">
        <v>54</v>
      </c>
      <c r="I444" s="661" t="s">
        <v>93</v>
      </c>
      <c r="J444" s="17" t="s">
        <v>52</v>
      </c>
      <c r="K444" s="33">
        <v>11895.6</v>
      </c>
      <c r="L444" s="33">
        <f>M444-K444</f>
        <v>-1977.7999999999993</v>
      </c>
      <c r="M444" s="33">
        <f>11895.6-1977.8</f>
        <v>9917.8000000000011</v>
      </c>
      <c r="N444" s="33">
        <v>11895.6</v>
      </c>
    </row>
    <row r="445" spans="1:14" s="14" customFormat="1" ht="54" x14ac:dyDescent="0.35">
      <c r="A445" s="18"/>
      <c r="B445" s="31" t="s">
        <v>57</v>
      </c>
      <c r="C445" s="32" t="s">
        <v>318</v>
      </c>
      <c r="D445" s="17" t="s">
        <v>228</v>
      </c>
      <c r="E445" s="17" t="s">
        <v>39</v>
      </c>
      <c r="F445" s="659" t="s">
        <v>65</v>
      </c>
      <c r="G445" s="660" t="s">
        <v>47</v>
      </c>
      <c r="H445" s="660" t="s">
        <v>54</v>
      </c>
      <c r="I445" s="661" t="s">
        <v>93</v>
      </c>
      <c r="J445" s="17" t="s">
        <v>58</v>
      </c>
      <c r="K445" s="33">
        <v>1081.7</v>
      </c>
      <c r="L445" s="33">
        <f>M445-K445</f>
        <v>0</v>
      </c>
      <c r="M445" s="33">
        <v>1081.7</v>
      </c>
      <c r="N445" s="33">
        <f>2328.1</f>
        <v>2328.1</v>
      </c>
    </row>
    <row r="446" spans="1:14" s="14" customFormat="1" ht="18" x14ac:dyDescent="0.35">
      <c r="A446" s="18"/>
      <c r="B446" s="31" t="s">
        <v>59</v>
      </c>
      <c r="C446" s="32" t="s">
        <v>318</v>
      </c>
      <c r="D446" s="17" t="s">
        <v>228</v>
      </c>
      <c r="E446" s="17" t="s">
        <v>39</v>
      </c>
      <c r="F446" s="659" t="s">
        <v>65</v>
      </c>
      <c r="G446" s="660" t="s">
        <v>47</v>
      </c>
      <c r="H446" s="660" t="s">
        <v>54</v>
      </c>
      <c r="I446" s="661" t="s">
        <v>93</v>
      </c>
      <c r="J446" s="17" t="s">
        <v>60</v>
      </c>
      <c r="K446" s="33">
        <v>47</v>
      </c>
      <c r="L446" s="33">
        <f t="shared" ref="L446:L449" si="76">M446-K446</f>
        <v>0</v>
      </c>
      <c r="M446" s="33">
        <v>47</v>
      </c>
      <c r="N446" s="33">
        <v>47</v>
      </c>
    </row>
    <row r="447" spans="1:14" s="14" customFormat="1" ht="18" x14ac:dyDescent="0.35">
      <c r="A447" s="18"/>
      <c r="B447" s="31" t="s">
        <v>541</v>
      </c>
      <c r="C447" s="32" t="s">
        <v>318</v>
      </c>
      <c r="D447" s="17" t="s">
        <v>228</v>
      </c>
      <c r="E447" s="17" t="s">
        <v>39</v>
      </c>
      <c r="F447" s="659" t="s">
        <v>65</v>
      </c>
      <c r="G447" s="660" t="s">
        <v>47</v>
      </c>
      <c r="H447" s="660" t="s">
        <v>54</v>
      </c>
      <c r="I447" s="661" t="s">
        <v>399</v>
      </c>
      <c r="J447" s="17"/>
      <c r="K447" s="33"/>
      <c r="L447" s="33">
        <f>M447-K447</f>
        <v>1977.8</v>
      </c>
      <c r="M447" s="33">
        <f t="shared" ref="M447:N447" si="77">M448</f>
        <v>1977.8</v>
      </c>
      <c r="N447" s="33">
        <f t="shared" si="77"/>
        <v>0</v>
      </c>
    </row>
    <row r="448" spans="1:14" s="14" customFormat="1" ht="54" x14ac:dyDescent="0.35">
      <c r="A448" s="18"/>
      <c r="B448" s="31" t="s">
        <v>57</v>
      </c>
      <c r="C448" s="32" t="s">
        <v>318</v>
      </c>
      <c r="D448" s="17" t="s">
        <v>228</v>
      </c>
      <c r="E448" s="17" t="s">
        <v>39</v>
      </c>
      <c r="F448" s="659" t="s">
        <v>65</v>
      </c>
      <c r="G448" s="660" t="s">
        <v>47</v>
      </c>
      <c r="H448" s="660" t="s">
        <v>54</v>
      </c>
      <c r="I448" s="661" t="s">
        <v>399</v>
      </c>
      <c r="J448" s="17" t="s">
        <v>58</v>
      </c>
      <c r="K448" s="33"/>
      <c r="L448" s="33">
        <f t="shared" si="76"/>
        <v>1977.8</v>
      </c>
      <c r="M448" s="33">
        <v>1977.8</v>
      </c>
      <c r="N448" s="33">
        <v>0</v>
      </c>
    </row>
    <row r="449" spans="1:14" s="14" customFormat="1" ht="54" x14ac:dyDescent="0.35">
      <c r="A449" s="18"/>
      <c r="B449" s="31" t="s">
        <v>332</v>
      </c>
      <c r="C449" s="32" t="s">
        <v>318</v>
      </c>
      <c r="D449" s="17" t="s">
        <v>228</v>
      </c>
      <c r="E449" s="17" t="s">
        <v>39</v>
      </c>
      <c r="F449" s="41" t="s">
        <v>65</v>
      </c>
      <c r="G449" s="124" t="s">
        <v>91</v>
      </c>
      <c r="H449" s="124" t="s">
        <v>45</v>
      </c>
      <c r="I449" s="661" t="s">
        <v>46</v>
      </c>
      <c r="J449" s="17"/>
      <c r="K449" s="33">
        <f t="shared" ref="K449:M454" si="78">K450</f>
        <v>349.5</v>
      </c>
      <c r="L449" s="33">
        <f t="shared" si="76"/>
        <v>0</v>
      </c>
      <c r="M449" s="33">
        <f t="shared" si="78"/>
        <v>349.5</v>
      </c>
      <c r="N449" s="33">
        <f>N450</f>
        <v>349.5</v>
      </c>
    </row>
    <row r="450" spans="1:14" s="14" customFormat="1" ht="96.75" customHeight="1" x14ac:dyDescent="0.35">
      <c r="A450" s="18"/>
      <c r="B450" s="35" t="s">
        <v>324</v>
      </c>
      <c r="C450" s="32" t="s">
        <v>318</v>
      </c>
      <c r="D450" s="17" t="s">
        <v>228</v>
      </c>
      <c r="E450" s="17" t="s">
        <v>39</v>
      </c>
      <c r="F450" s="41" t="s">
        <v>65</v>
      </c>
      <c r="G450" s="124" t="s">
        <v>91</v>
      </c>
      <c r="H450" s="124" t="s">
        <v>65</v>
      </c>
      <c r="I450" s="661" t="s">
        <v>46</v>
      </c>
      <c r="J450" s="17"/>
      <c r="K450" s="33">
        <f>K454+K451</f>
        <v>349.5</v>
      </c>
      <c r="L450" s="33">
        <f>L454+L451</f>
        <v>0</v>
      </c>
      <c r="M450" s="33">
        <f>M454+M451</f>
        <v>349.5</v>
      </c>
      <c r="N450" s="33">
        <f>N454+N451</f>
        <v>349.5</v>
      </c>
    </row>
    <row r="451" spans="1:14" s="14" customFormat="1" ht="40.5" customHeight="1" x14ac:dyDescent="0.35">
      <c r="A451" s="18"/>
      <c r="B451" s="35" t="s">
        <v>319</v>
      </c>
      <c r="C451" s="32" t="s">
        <v>318</v>
      </c>
      <c r="D451" s="17" t="s">
        <v>228</v>
      </c>
      <c r="E451" s="17" t="s">
        <v>39</v>
      </c>
      <c r="F451" s="41" t="s">
        <v>65</v>
      </c>
      <c r="G451" s="124" t="s">
        <v>91</v>
      </c>
      <c r="H451" s="124" t="s">
        <v>65</v>
      </c>
      <c r="I451" s="661" t="s">
        <v>320</v>
      </c>
      <c r="J451" s="17"/>
      <c r="K451" s="33">
        <f>K452+K453</f>
        <v>307.39999999999998</v>
      </c>
      <c r="L451" s="33">
        <f>L452+L453</f>
        <v>0</v>
      </c>
      <c r="M451" s="33">
        <f>M452+M453</f>
        <v>307.39999999999998</v>
      </c>
      <c r="N451" s="33">
        <f>N452+N453</f>
        <v>307.39999999999998</v>
      </c>
    </row>
    <row r="452" spans="1:14" s="14" customFormat="1" ht="54" x14ac:dyDescent="0.35">
      <c r="A452" s="18"/>
      <c r="B452" s="31" t="s">
        <v>57</v>
      </c>
      <c r="C452" s="32" t="s">
        <v>318</v>
      </c>
      <c r="D452" s="17" t="s">
        <v>228</v>
      </c>
      <c r="E452" s="17" t="s">
        <v>39</v>
      </c>
      <c r="F452" s="41" t="s">
        <v>65</v>
      </c>
      <c r="G452" s="124" t="s">
        <v>91</v>
      </c>
      <c r="H452" s="124" t="s">
        <v>65</v>
      </c>
      <c r="I452" s="661" t="s">
        <v>320</v>
      </c>
      <c r="J452" s="17" t="s">
        <v>58</v>
      </c>
      <c r="K452" s="33">
        <v>289.5</v>
      </c>
      <c r="L452" s="33">
        <f>M452-K452</f>
        <v>0</v>
      </c>
      <c r="M452" s="33">
        <v>289.5</v>
      </c>
      <c r="N452" s="33">
        <v>289.5</v>
      </c>
    </row>
    <row r="453" spans="1:14" s="14" customFormat="1" ht="57" customHeight="1" x14ac:dyDescent="0.35">
      <c r="A453" s="18"/>
      <c r="B453" s="35" t="s">
        <v>78</v>
      </c>
      <c r="C453" s="32" t="s">
        <v>318</v>
      </c>
      <c r="D453" s="17" t="s">
        <v>228</v>
      </c>
      <c r="E453" s="17" t="s">
        <v>39</v>
      </c>
      <c r="F453" s="41" t="s">
        <v>65</v>
      </c>
      <c r="G453" s="124" t="s">
        <v>91</v>
      </c>
      <c r="H453" s="124" t="s">
        <v>65</v>
      </c>
      <c r="I453" s="661" t="s">
        <v>320</v>
      </c>
      <c r="J453" s="17" t="s">
        <v>79</v>
      </c>
      <c r="K453" s="33">
        <v>17.899999999999999</v>
      </c>
      <c r="L453" s="33">
        <f>M453-K453</f>
        <v>0</v>
      </c>
      <c r="M453" s="33">
        <v>17.899999999999999</v>
      </c>
      <c r="N453" s="33">
        <v>17.899999999999999</v>
      </c>
    </row>
    <row r="454" spans="1:14" s="14" customFormat="1" ht="54" x14ac:dyDescent="0.35">
      <c r="A454" s="18"/>
      <c r="B454" s="35" t="s">
        <v>476</v>
      </c>
      <c r="C454" s="32" t="s">
        <v>318</v>
      </c>
      <c r="D454" s="17" t="s">
        <v>228</v>
      </c>
      <c r="E454" s="17" t="s">
        <v>39</v>
      </c>
      <c r="F454" s="659" t="s">
        <v>65</v>
      </c>
      <c r="G454" s="660" t="s">
        <v>91</v>
      </c>
      <c r="H454" s="660" t="s">
        <v>65</v>
      </c>
      <c r="I454" s="661" t="s">
        <v>477</v>
      </c>
      <c r="J454" s="17"/>
      <c r="K454" s="33">
        <f t="shared" si="78"/>
        <v>42.1</v>
      </c>
      <c r="L454" s="33">
        <f t="shared" si="78"/>
        <v>0</v>
      </c>
      <c r="M454" s="33">
        <f t="shared" si="78"/>
        <v>42.1</v>
      </c>
      <c r="N454" s="33">
        <f>N455</f>
        <v>42.1</v>
      </c>
    </row>
    <row r="455" spans="1:14" s="14" customFormat="1" ht="54" x14ac:dyDescent="0.35">
      <c r="A455" s="18"/>
      <c r="B455" s="35" t="s">
        <v>78</v>
      </c>
      <c r="C455" s="32" t="s">
        <v>318</v>
      </c>
      <c r="D455" s="17" t="s">
        <v>228</v>
      </c>
      <c r="E455" s="17" t="s">
        <v>39</v>
      </c>
      <c r="F455" s="659" t="s">
        <v>65</v>
      </c>
      <c r="G455" s="660" t="s">
        <v>91</v>
      </c>
      <c r="H455" s="660" t="s">
        <v>65</v>
      </c>
      <c r="I455" s="661" t="s">
        <v>477</v>
      </c>
      <c r="J455" s="17" t="s">
        <v>79</v>
      </c>
      <c r="K455" s="33">
        <v>42.1</v>
      </c>
      <c r="L455" s="33">
        <f>M455-K455</f>
        <v>0</v>
      </c>
      <c r="M455" s="33">
        <v>42.1</v>
      </c>
      <c r="N455" s="33">
        <f>2.1+40</f>
        <v>42.1</v>
      </c>
    </row>
    <row r="456" spans="1:14" s="14" customFormat="1" ht="36" x14ac:dyDescent="0.35">
      <c r="A456" s="18"/>
      <c r="B456" s="31" t="s">
        <v>325</v>
      </c>
      <c r="C456" s="32" t="s">
        <v>318</v>
      </c>
      <c r="D456" s="17" t="s">
        <v>228</v>
      </c>
      <c r="E456" s="17" t="s">
        <v>54</v>
      </c>
      <c r="F456" s="41"/>
      <c r="G456" s="124"/>
      <c r="H456" s="124"/>
      <c r="I456" s="125"/>
      <c r="J456" s="126"/>
      <c r="K456" s="33">
        <f t="shared" ref="K456:N458" si="79">K457</f>
        <v>9253.1</v>
      </c>
      <c r="L456" s="33">
        <f t="shared" si="79"/>
        <v>0</v>
      </c>
      <c r="M456" s="33">
        <f t="shared" si="79"/>
        <v>9253.1</v>
      </c>
      <c r="N456" s="33">
        <f t="shared" si="79"/>
        <v>9910</v>
      </c>
    </row>
    <row r="457" spans="1:14" s="14" customFormat="1" ht="54" x14ac:dyDescent="0.35">
      <c r="A457" s="18"/>
      <c r="B457" s="37" t="s">
        <v>215</v>
      </c>
      <c r="C457" s="32" t="s">
        <v>318</v>
      </c>
      <c r="D457" s="17" t="s">
        <v>228</v>
      </c>
      <c r="E457" s="17" t="s">
        <v>54</v>
      </c>
      <c r="F457" s="41" t="s">
        <v>65</v>
      </c>
      <c r="G457" s="124" t="s">
        <v>44</v>
      </c>
      <c r="H457" s="124" t="s">
        <v>45</v>
      </c>
      <c r="I457" s="125" t="s">
        <v>46</v>
      </c>
      <c r="J457" s="126"/>
      <c r="K457" s="33">
        <f t="shared" si="79"/>
        <v>9253.1</v>
      </c>
      <c r="L457" s="33">
        <f t="shared" si="79"/>
        <v>0</v>
      </c>
      <c r="M457" s="33">
        <f t="shared" si="79"/>
        <v>9253.1</v>
      </c>
      <c r="N457" s="33">
        <f t="shared" si="79"/>
        <v>9910</v>
      </c>
    </row>
    <row r="458" spans="1:14" s="14" customFormat="1" ht="54" x14ac:dyDescent="0.35">
      <c r="A458" s="18"/>
      <c r="B458" s="31" t="s">
        <v>218</v>
      </c>
      <c r="C458" s="32" t="s">
        <v>318</v>
      </c>
      <c r="D458" s="17" t="s">
        <v>228</v>
      </c>
      <c r="E458" s="17" t="s">
        <v>54</v>
      </c>
      <c r="F458" s="659" t="s">
        <v>65</v>
      </c>
      <c r="G458" s="660" t="s">
        <v>32</v>
      </c>
      <c r="H458" s="660" t="s">
        <v>45</v>
      </c>
      <c r="I458" s="661" t="s">
        <v>46</v>
      </c>
      <c r="J458" s="17"/>
      <c r="K458" s="33">
        <f t="shared" si="79"/>
        <v>9253.1</v>
      </c>
      <c r="L458" s="33">
        <f t="shared" si="79"/>
        <v>0</v>
      </c>
      <c r="M458" s="33">
        <f t="shared" si="79"/>
        <v>9253.1</v>
      </c>
      <c r="N458" s="33">
        <f t="shared" si="79"/>
        <v>9910</v>
      </c>
    </row>
    <row r="459" spans="1:14" s="14" customFormat="1" ht="36" x14ac:dyDescent="0.35">
      <c r="A459" s="18"/>
      <c r="B459" s="31" t="s">
        <v>284</v>
      </c>
      <c r="C459" s="32" t="s">
        <v>318</v>
      </c>
      <c r="D459" s="17" t="s">
        <v>228</v>
      </c>
      <c r="E459" s="17" t="s">
        <v>54</v>
      </c>
      <c r="F459" s="659" t="s">
        <v>65</v>
      </c>
      <c r="G459" s="660" t="s">
        <v>32</v>
      </c>
      <c r="H459" s="660" t="s">
        <v>39</v>
      </c>
      <c r="I459" s="661" t="s">
        <v>46</v>
      </c>
      <c r="J459" s="17"/>
      <c r="K459" s="33">
        <f>K460+K464</f>
        <v>9253.1</v>
      </c>
      <c r="L459" s="33">
        <f>L460+L464</f>
        <v>0</v>
      </c>
      <c r="M459" s="33">
        <f>M460+M464</f>
        <v>9253.1</v>
      </c>
      <c r="N459" s="33">
        <f>N460+N464</f>
        <v>9910</v>
      </c>
    </row>
    <row r="460" spans="1:14" s="14" customFormat="1" ht="36" x14ac:dyDescent="0.35">
      <c r="A460" s="18"/>
      <c r="B460" s="31" t="s">
        <v>49</v>
      </c>
      <c r="C460" s="32" t="s">
        <v>318</v>
      </c>
      <c r="D460" s="17" t="s">
        <v>228</v>
      </c>
      <c r="E460" s="17" t="s">
        <v>54</v>
      </c>
      <c r="F460" s="659" t="s">
        <v>65</v>
      </c>
      <c r="G460" s="660" t="s">
        <v>32</v>
      </c>
      <c r="H460" s="660" t="s">
        <v>39</v>
      </c>
      <c r="I460" s="661" t="s">
        <v>50</v>
      </c>
      <c r="J460" s="126"/>
      <c r="K460" s="33">
        <f>K461+K462+K463</f>
        <v>2982.2000000000003</v>
      </c>
      <c r="L460" s="33">
        <f>L461+L462+L463</f>
        <v>0</v>
      </c>
      <c r="M460" s="33">
        <f>M461+M462+M463</f>
        <v>2982.2000000000003</v>
      </c>
      <c r="N460" s="33">
        <f>N461+N462+N463</f>
        <v>2983.1</v>
      </c>
    </row>
    <row r="461" spans="1:14" s="14" customFormat="1" ht="108" x14ac:dyDescent="0.35">
      <c r="A461" s="18"/>
      <c r="B461" s="31" t="s">
        <v>51</v>
      </c>
      <c r="C461" s="32" t="s">
        <v>318</v>
      </c>
      <c r="D461" s="17" t="s">
        <v>228</v>
      </c>
      <c r="E461" s="17" t="s">
        <v>54</v>
      </c>
      <c r="F461" s="659" t="s">
        <v>65</v>
      </c>
      <c r="G461" s="660" t="s">
        <v>32</v>
      </c>
      <c r="H461" s="660" t="s">
        <v>39</v>
      </c>
      <c r="I461" s="661" t="s">
        <v>50</v>
      </c>
      <c r="J461" s="126" t="s">
        <v>52</v>
      </c>
      <c r="K461" s="33">
        <v>2712.1</v>
      </c>
      <c r="L461" s="33">
        <f>M461-K461</f>
        <v>0</v>
      </c>
      <c r="M461" s="33">
        <v>2712.1</v>
      </c>
      <c r="N461" s="33">
        <v>2712.1</v>
      </c>
    </row>
    <row r="462" spans="1:14" s="14" customFormat="1" ht="54" x14ac:dyDescent="0.35">
      <c r="A462" s="18"/>
      <c r="B462" s="31" t="s">
        <v>57</v>
      </c>
      <c r="C462" s="32" t="s">
        <v>318</v>
      </c>
      <c r="D462" s="17" t="s">
        <v>228</v>
      </c>
      <c r="E462" s="17" t="s">
        <v>54</v>
      </c>
      <c r="F462" s="659" t="s">
        <v>65</v>
      </c>
      <c r="G462" s="660" t="s">
        <v>32</v>
      </c>
      <c r="H462" s="660" t="s">
        <v>39</v>
      </c>
      <c r="I462" s="661" t="s">
        <v>50</v>
      </c>
      <c r="J462" s="126" t="s">
        <v>58</v>
      </c>
      <c r="K462" s="33">
        <v>265.8</v>
      </c>
      <c r="L462" s="33">
        <f>M462-K462</f>
        <v>0</v>
      </c>
      <c r="M462" s="33">
        <v>265.8</v>
      </c>
      <c r="N462" s="33">
        <v>266.7</v>
      </c>
    </row>
    <row r="463" spans="1:14" s="14" customFormat="1" ht="18" x14ac:dyDescent="0.35">
      <c r="A463" s="18"/>
      <c r="B463" s="31" t="s">
        <v>59</v>
      </c>
      <c r="C463" s="32" t="s">
        <v>318</v>
      </c>
      <c r="D463" s="17" t="s">
        <v>228</v>
      </c>
      <c r="E463" s="17" t="s">
        <v>54</v>
      </c>
      <c r="F463" s="659" t="s">
        <v>65</v>
      </c>
      <c r="G463" s="660" t="s">
        <v>32</v>
      </c>
      <c r="H463" s="660" t="s">
        <v>39</v>
      </c>
      <c r="I463" s="661" t="s">
        <v>50</v>
      </c>
      <c r="J463" s="17" t="s">
        <v>60</v>
      </c>
      <c r="K463" s="33">
        <v>4.3</v>
      </c>
      <c r="L463" s="33">
        <f>M463-K463</f>
        <v>0</v>
      </c>
      <c r="M463" s="33">
        <v>4.3</v>
      </c>
      <c r="N463" s="33">
        <v>4.3</v>
      </c>
    </row>
    <row r="464" spans="1:14" s="14" customFormat="1" ht="39" customHeight="1" x14ac:dyDescent="0.35">
      <c r="A464" s="18"/>
      <c r="B464" s="112" t="s">
        <v>540</v>
      </c>
      <c r="C464" s="32" t="s">
        <v>318</v>
      </c>
      <c r="D464" s="17" t="s">
        <v>228</v>
      </c>
      <c r="E464" s="17" t="s">
        <v>54</v>
      </c>
      <c r="F464" s="659" t="s">
        <v>65</v>
      </c>
      <c r="G464" s="660" t="s">
        <v>32</v>
      </c>
      <c r="H464" s="660" t="s">
        <v>39</v>
      </c>
      <c r="I464" s="661" t="s">
        <v>93</v>
      </c>
      <c r="J464" s="17"/>
      <c r="K464" s="33">
        <f>K465+K466+K467</f>
        <v>6270.9000000000005</v>
      </c>
      <c r="L464" s="33">
        <f>L465+L466+L467</f>
        <v>0</v>
      </c>
      <c r="M464" s="33">
        <f>M465+M466+M467</f>
        <v>6270.9000000000005</v>
      </c>
      <c r="N464" s="33">
        <f>N465+N466+N467</f>
        <v>6926.9000000000005</v>
      </c>
    </row>
    <row r="465" spans="1:14" s="14" customFormat="1" ht="108" x14ac:dyDescent="0.35">
      <c r="A465" s="18"/>
      <c r="B465" s="31" t="s">
        <v>51</v>
      </c>
      <c r="C465" s="190" t="s">
        <v>318</v>
      </c>
      <c r="D465" s="126" t="s">
        <v>228</v>
      </c>
      <c r="E465" s="126" t="s">
        <v>54</v>
      </c>
      <c r="F465" s="659" t="s">
        <v>65</v>
      </c>
      <c r="G465" s="660" t="s">
        <v>32</v>
      </c>
      <c r="H465" s="660" t="s">
        <v>39</v>
      </c>
      <c r="I465" s="661" t="s">
        <v>93</v>
      </c>
      <c r="J465" s="126" t="s">
        <v>52</v>
      </c>
      <c r="K465" s="33">
        <v>6121.1</v>
      </c>
      <c r="L465" s="33">
        <f>M465-K465</f>
        <v>0</v>
      </c>
      <c r="M465" s="33">
        <v>6121.1</v>
      </c>
      <c r="N465" s="33">
        <v>6121.1</v>
      </c>
    </row>
    <row r="466" spans="1:14" s="14" customFormat="1" ht="54" x14ac:dyDescent="0.35">
      <c r="A466" s="18"/>
      <c r="B466" s="31" t="s">
        <v>57</v>
      </c>
      <c r="C466" s="190" t="s">
        <v>318</v>
      </c>
      <c r="D466" s="126" t="s">
        <v>228</v>
      </c>
      <c r="E466" s="126" t="s">
        <v>54</v>
      </c>
      <c r="F466" s="659" t="s">
        <v>65</v>
      </c>
      <c r="G466" s="660" t="s">
        <v>32</v>
      </c>
      <c r="H466" s="660" t="s">
        <v>39</v>
      </c>
      <c r="I466" s="661" t="s">
        <v>93</v>
      </c>
      <c r="J466" s="126" t="s">
        <v>58</v>
      </c>
      <c r="K466" s="33">
        <v>148.19999999999999</v>
      </c>
      <c r="L466" s="33">
        <f>M466-K466</f>
        <v>0</v>
      </c>
      <c r="M466" s="33">
        <v>148.19999999999999</v>
      </c>
      <c r="N466" s="33">
        <v>804.2</v>
      </c>
    </row>
    <row r="467" spans="1:14" s="14" customFormat="1" ht="18" x14ac:dyDescent="0.35">
      <c r="A467" s="18"/>
      <c r="B467" s="31" t="s">
        <v>59</v>
      </c>
      <c r="C467" s="190" t="s">
        <v>318</v>
      </c>
      <c r="D467" s="126" t="s">
        <v>228</v>
      </c>
      <c r="E467" s="126" t="s">
        <v>54</v>
      </c>
      <c r="F467" s="659" t="s">
        <v>65</v>
      </c>
      <c r="G467" s="660" t="s">
        <v>32</v>
      </c>
      <c r="H467" s="660" t="s">
        <v>39</v>
      </c>
      <c r="I467" s="661" t="s">
        <v>93</v>
      </c>
      <c r="J467" s="17" t="s">
        <v>60</v>
      </c>
      <c r="K467" s="33">
        <v>1.6</v>
      </c>
      <c r="L467" s="33">
        <f>M467-K467</f>
        <v>0</v>
      </c>
      <c r="M467" s="33">
        <v>1.6</v>
      </c>
      <c r="N467" s="33">
        <v>1.6</v>
      </c>
    </row>
    <row r="468" spans="1:14" s="157" customFormat="1" ht="18" x14ac:dyDescent="0.35">
      <c r="A468" s="18"/>
      <c r="B468" s="31"/>
      <c r="C468" s="190"/>
      <c r="D468" s="126"/>
      <c r="E468" s="126"/>
      <c r="F468" s="659"/>
      <c r="G468" s="660"/>
      <c r="H468" s="660"/>
      <c r="I468" s="661"/>
      <c r="J468" s="17"/>
      <c r="K468" s="33"/>
      <c r="L468" s="33"/>
      <c r="M468" s="33"/>
      <c r="N468" s="33"/>
    </row>
    <row r="469" spans="1:14" s="152" customFormat="1" ht="52.2" x14ac:dyDescent="0.3">
      <c r="A469" s="151">
        <v>7</v>
      </c>
      <c r="B469" s="25" t="s">
        <v>10</v>
      </c>
      <c r="C469" s="26" t="s">
        <v>293</v>
      </c>
      <c r="D469" s="27"/>
      <c r="E469" s="27"/>
      <c r="F469" s="28"/>
      <c r="G469" s="29"/>
      <c r="H469" s="29"/>
      <c r="I469" s="30"/>
      <c r="J469" s="27"/>
      <c r="K469" s="47">
        <f>K470+K477</f>
        <v>34284.499999999993</v>
      </c>
      <c r="L469" s="47">
        <f>L470+L477</f>
        <v>4966.3999999999996</v>
      </c>
      <c r="M469" s="47">
        <f>M470+M477</f>
        <v>39250.899999999994</v>
      </c>
      <c r="N469" s="47">
        <f>N470+N477</f>
        <v>30605.3</v>
      </c>
    </row>
    <row r="470" spans="1:14" s="152" customFormat="1" ht="18" x14ac:dyDescent="0.35">
      <c r="A470" s="151"/>
      <c r="B470" s="285" t="s">
        <v>38</v>
      </c>
      <c r="C470" s="286" t="s">
        <v>293</v>
      </c>
      <c r="D470" s="42" t="s">
        <v>39</v>
      </c>
      <c r="E470" s="42"/>
      <c r="F470" s="272"/>
      <c r="G470" s="273"/>
      <c r="H470" s="273"/>
      <c r="I470" s="274"/>
      <c r="J470" s="42"/>
      <c r="K470" s="275">
        <f t="shared" ref="K470:M474" si="80">K471</f>
        <v>35.6</v>
      </c>
      <c r="L470" s="275">
        <f t="shared" si="80"/>
        <v>0</v>
      </c>
      <c r="M470" s="275">
        <f t="shared" si="80"/>
        <v>35.6</v>
      </c>
      <c r="N470" s="275">
        <f t="shared" ref="N470:N474" si="81">N471</f>
        <v>35.6</v>
      </c>
    </row>
    <row r="471" spans="1:14" s="152" customFormat="1" ht="18" x14ac:dyDescent="0.35">
      <c r="A471" s="151"/>
      <c r="B471" s="285" t="s">
        <v>72</v>
      </c>
      <c r="C471" s="286" t="s">
        <v>293</v>
      </c>
      <c r="D471" s="42" t="s">
        <v>39</v>
      </c>
      <c r="E471" s="42" t="s">
        <v>73</v>
      </c>
      <c r="F471" s="272"/>
      <c r="G471" s="273"/>
      <c r="H471" s="273"/>
      <c r="I471" s="274"/>
      <c r="J471" s="42"/>
      <c r="K471" s="275">
        <f t="shared" si="80"/>
        <v>35.6</v>
      </c>
      <c r="L471" s="275">
        <f t="shared" si="80"/>
        <v>0</v>
      </c>
      <c r="M471" s="275">
        <f t="shared" si="80"/>
        <v>35.6</v>
      </c>
      <c r="N471" s="275">
        <f t="shared" si="81"/>
        <v>35.6</v>
      </c>
    </row>
    <row r="472" spans="1:14" s="152" customFormat="1" ht="54" x14ac:dyDescent="0.35">
      <c r="A472" s="151"/>
      <c r="B472" s="285" t="s">
        <v>219</v>
      </c>
      <c r="C472" s="286" t="s">
        <v>293</v>
      </c>
      <c r="D472" s="42" t="s">
        <v>39</v>
      </c>
      <c r="E472" s="42" t="s">
        <v>73</v>
      </c>
      <c r="F472" s="272" t="s">
        <v>54</v>
      </c>
      <c r="G472" s="273" t="s">
        <v>44</v>
      </c>
      <c r="H472" s="273" t="s">
        <v>45</v>
      </c>
      <c r="I472" s="274" t="s">
        <v>46</v>
      </c>
      <c r="J472" s="42"/>
      <c r="K472" s="275">
        <f t="shared" si="80"/>
        <v>35.6</v>
      </c>
      <c r="L472" s="275">
        <f t="shared" si="80"/>
        <v>0</v>
      </c>
      <c r="M472" s="275">
        <f t="shared" si="80"/>
        <v>35.6</v>
      </c>
      <c r="N472" s="275">
        <f t="shared" si="81"/>
        <v>35.6</v>
      </c>
    </row>
    <row r="473" spans="1:14" s="152" customFormat="1" ht="36" x14ac:dyDescent="0.35">
      <c r="A473" s="151"/>
      <c r="B473" s="285" t="s">
        <v>222</v>
      </c>
      <c r="C473" s="286" t="s">
        <v>293</v>
      </c>
      <c r="D473" s="42" t="s">
        <v>39</v>
      </c>
      <c r="E473" s="42" t="s">
        <v>73</v>
      </c>
      <c r="F473" s="272" t="s">
        <v>54</v>
      </c>
      <c r="G473" s="273" t="s">
        <v>91</v>
      </c>
      <c r="H473" s="273" t="s">
        <v>45</v>
      </c>
      <c r="I473" s="274" t="s">
        <v>46</v>
      </c>
      <c r="J473" s="42"/>
      <c r="K473" s="275">
        <f t="shared" si="80"/>
        <v>35.6</v>
      </c>
      <c r="L473" s="275">
        <f t="shared" si="80"/>
        <v>0</v>
      </c>
      <c r="M473" s="275">
        <f t="shared" si="80"/>
        <v>35.6</v>
      </c>
      <c r="N473" s="275">
        <f t="shared" si="81"/>
        <v>35.6</v>
      </c>
    </row>
    <row r="474" spans="1:14" s="152" customFormat="1" ht="36" x14ac:dyDescent="0.35">
      <c r="A474" s="151"/>
      <c r="B474" s="285" t="s">
        <v>360</v>
      </c>
      <c r="C474" s="286" t="s">
        <v>293</v>
      </c>
      <c r="D474" s="42" t="s">
        <v>39</v>
      </c>
      <c r="E474" s="42" t="s">
        <v>73</v>
      </c>
      <c r="F474" s="272" t="s">
        <v>54</v>
      </c>
      <c r="G474" s="273" t="s">
        <v>91</v>
      </c>
      <c r="H474" s="273" t="s">
        <v>65</v>
      </c>
      <c r="I474" s="274" t="s">
        <v>46</v>
      </c>
      <c r="J474" s="42"/>
      <c r="K474" s="275">
        <f t="shared" si="80"/>
        <v>35.6</v>
      </c>
      <c r="L474" s="275">
        <f t="shared" si="80"/>
        <v>0</v>
      </c>
      <c r="M474" s="275">
        <f t="shared" si="80"/>
        <v>35.6</v>
      </c>
      <c r="N474" s="275">
        <f t="shared" si="81"/>
        <v>35.6</v>
      </c>
    </row>
    <row r="475" spans="1:14" s="152" customFormat="1" ht="54" customHeight="1" x14ac:dyDescent="0.35">
      <c r="A475" s="151"/>
      <c r="B475" s="285" t="s">
        <v>361</v>
      </c>
      <c r="C475" s="286" t="s">
        <v>293</v>
      </c>
      <c r="D475" s="42" t="s">
        <v>39</v>
      </c>
      <c r="E475" s="42" t="s">
        <v>73</v>
      </c>
      <c r="F475" s="272" t="s">
        <v>54</v>
      </c>
      <c r="G475" s="273" t="s">
        <v>91</v>
      </c>
      <c r="H475" s="273" t="s">
        <v>65</v>
      </c>
      <c r="I475" s="274" t="s">
        <v>107</v>
      </c>
      <c r="J475" s="42"/>
      <c r="K475" s="275">
        <f>K476</f>
        <v>35.6</v>
      </c>
      <c r="L475" s="275">
        <f>L476</f>
        <v>0</v>
      </c>
      <c r="M475" s="275">
        <f>M476</f>
        <v>35.6</v>
      </c>
      <c r="N475" s="275">
        <f>N476</f>
        <v>35.6</v>
      </c>
    </row>
    <row r="476" spans="1:14" s="14" customFormat="1" ht="54" x14ac:dyDescent="0.35">
      <c r="A476" s="18"/>
      <c r="B476" s="288" t="s">
        <v>57</v>
      </c>
      <c r="C476" s="286" t="s">
        <v>293</v>
      </c>
      <c r="D476" s="42" t="s">
        <v>39</v>
      </c>
      <c r="E476" s="42" t="s">
        <v>73</v>
      </c>
      <c r="F476" s="272" t="s">
        <v>54</v>
      </c>
      <c r="G476" s="273" t="s">
        <v>91</v>
      </c>
      <c r="H476" s="273" t="s">
        <v>65</v>
      </c>
      <c r="I476" s="274" t="s">
        <v>107</v>
      </c>
      <c r="J476" s="42" t="s">
        <v>58</v>
      </c>
      <c r="K476" s="275">
        <v>35.6</v>
      </c>
      <c r="L476" s="33">
        <f>M476-K476</f>
        <v>0</v>
      </c>
      <c r="M476" s="275">
        <v>35.6</v>
      </c>
      <c r="N476" s="33">
        <v>35.6</v>
      </c>
    </row>
    <row r="477" spans="1:14" s="14" customFormat="1" ht="18" x14ac:dyDescent="0.35">
      <c r="A477" s="18"/>
      <c r="B477" s="288" t="s">
        <v>326</v>
      </c>
      <c r="C477" s="286" t="s">
        <v>293</v>
      </c>
      <c r="D477" s="42" t="s">
        <v>69</v>
      </c>
      <c r="E477" s="42"/>
      <c r="F477" s="272"/>
      <c r="G477" s="273"/>
      <c r="H477" s="273"/>
      <c r="I477" s="274"/>
      <c r="J477" s="42"/>
      <c r="K477" s="275">
        <f>K478+K508+K498</f>
        <v>34248.899999999994</v>
      </c>
      <c r="L477" s="275">
        <f>L478+L508+L498</f>
        <v>4966.3999999999996</v>
      </c>
      <c r="M477" s="275">
        <f>M478+M508+M498</f>
        <v>39215.299999999996</v>
      </c>
      <c r="N477" s="275">
        <f>N478+N508+N498</f>
        <v>30569.7</v>
      </c>
    </row>
    <row r="478" spans="1:14" s="152" customFormat="1" ht="18" x14ac:dyDescent="0.35">
      <c r="A478" s="18"/>
      <c r="B478" s="37" t="s">
        <v>369</v>
      </c>
      <c r="C478" s="32" t="s">
        <v>293</v>
      </c>
      <c r="D478" s="17" t="s">
        <v>69</v>
      </c>
      <c r="E478" s="17" t="s">
        <v>39</v>
      </c>
      <c r="F478" s="659"/>
      <c r="G478" s="660"/>
      <c r="H478" s="660"/>
      <c r="I478" s="661"/>
      <c r="J478" s="17"/>
      <c r="K478" s="33">
        <f>K479</f>
        <v>27442.499999999996</v>
      </c>
      <c r="L478" s="33">
        <f>L479</f>
        <v>4966.3999999999996</v>
      </c>
      <c r="M478" s="33">
        <f>M479</f>
        <v>32408.899999999998</v>
      </c>
      <c r="N478" s="33">
        <f>N479</f>
        <v>27452.1</v>
      </c>
    </row>
    <row r="479" spans="1:14" s="152" customFormat="1" ht="61.5" customHeight="1" x14ac:dyDescent="0.35">
      <c r="A479" s="18"/>
      <c r="B479" s="31" t="s">
        <v>219</v>
      </c>
      <c r="C479" s="32" t="s">
        <v>293</v>
      </c>
      <c r="D479" s="17" t="s">
        <v>69</v>
      </c>
      <c r="E479" s="17" t="s">
        <v>39</v>
      </c>
      <c r="F479" s="659" t="s">
        <v>54</v>
      </c>
      <c r="G479" s="660" t="s">
        <v>44</v>
      </c>
      <c r="H479" s="660" t="s">
        <v>45</v>
      </c>
      <c r="I479" s="661" t="s">
        <v>46</v>
      </c>
      <c r="J479" s="17"/>
      <c r="K479" s="33">
        <f>K480+K484</f>
        <v>27442.499999999996</v>
      </c>
      <c r="L479" s="33">
        <f>L480+L484</f>
        <v>4966.3999999999996</v>
      </c>
      <c r="M479" s="33">
        <f>M480+M484</f>
        <v>32408.899999999998</v>
      </c>
      <c r="N479" s="33">
        <f>N480+N484</f>
        <v>27452.1</v>
      </c>
    </row>
    <row r="480" spans="1:14" s="152" customFormat="1" ht="36" x14ac:dyDescent="0.35">
      <c r="A480" s="18"/>
      <c r="B480" s="37" t="s">
        <v>220</v>
      </c>
      <c r="C480" s="32" t="s">
        <v>293</v>
      </c>
      <c r="D480" s="17" t="s">
        <v>69</v>
      </c>
      <c r="E480" s="17" t="s">
        <v>39</v>
      </c>
      <c r="F480" s="659" t="s">
        <v>54</v>
      </c>
      <c r="G480" s="660" t="s">
        <v>47</v>
      </c>
      <c r="H480" s="660" t="s">
        <v>45</v>
      </c>
      <c r="I480" s="661" t="s">
        <v>46</v>
      </c>
      <c r="J480" s="17"/>
      <c r="K480" s="33">
        <f>K481</f>
        <v>225</v>
      </c>
      <c r="L480" s="33">
        <f>L481</f>
        <v>0</v>
      </c>
      <c r="M480" s="33">
        <f>M481</f>
        <v>225</v>
      </c>
      <c r="N480" s="33">
        <f>N481</f>
        <v>225</v>
      </c>
    </row>
    <row r="481" spans="1:14" s="152" customFormat="1" ht="18" x14ac:dyDescent="0.35">
      <c r="A481" s="18"/>
      <c r="B481" s="31" t="s">
        <v>279</v>
      </c>
      <c r="C481" s="32" t="s">
        <v>293</v>
      </c>
      <c r="D481" s="17" t="s">
        <v>69</v>
      </c>
      <c r="E481" s="17" t="s">
        <v>39</v>
      </c>
      <c r="F481" s="659" t="s">
        <v>54</v>
      </c>
      <c r="G481" s="660" t="s">
        <v>47</v>
      </c>
      <c r="H481" s="660" t="s">
        <v>39</v>
      </c>
      <c r="I481" s="661" t="s">
        <v>46</v>
      </c>
      <c r="J481" s="17"/>
      <c r="K481" s="33">
        <f t="shared" ref="K481:N482" si="82">K482</f>
        <v>225</v>
      </c>
      <c r="L481" s="33">
        <f t="shared" si="82"/>
        <v>0</v>
      </c>
      <c r="M481" s="33">
        <f t="shared" si="82"/>
        <v>225</v>
      </c>
      <c r="N481" s="33">
        <f t="shared" si="82"/>
        <v>225</v>
      </c>
    </row>
    <row r="482" spans="1:14" s="152" customFormat="1" ht="62.4" customHeight="1" x14ac:dyDescent="0.35">
      <c r="A482" s="18"/>
      <c r="B482" s="31" t="s">
        <v>280</v>
      </c>
      <c r="C482" s="32" t="s">
        <v>293</v>
      </c>
      <c r="D482" s="17" t="s">
        <v>69</v>
      </c>
      <c r="E482" s="17" t="s">
        <v>39</v>
      </c>
      <c r="F482" s="659" t="s">
        <v>54</v>
      </c>
      <c r="G482" s="660" t="s">
        <v>47</v>
      </c>
      <c r="H482" s="660" t="s">
        <v>39</v>
      </c>
      <c r="I482" s="661" t="s">
        <v>281</v>
      </c>
      <c r="J482" s="17"/>
      <c r="K482" s="33">
        <f t="shared" si="82"/>
        <v>225</v>
      </c>
      <c r="L482" s="33">
        <f t="shared" si="82"/>
        <v>0</v>
      </c>
      <c r="M482" s="33">
        <f t="shared" si="82"/>
        <v>225</v>
      </c>
      <c r="N482" s="33">
        <f t="shared" si="82"/>
        <v>225</v>
      </c>
    </row>
    <row r="483" spans="1:14" s="152" customFormat="1" ht="36" x14ac:dyDescent="0.35">
      <c r="A483" s="18"/>
      <c r="B483" s="31" t="s">
        <v>122</v>
      </c>
      <c r="C483" s="32" t="s">
        <v>293</v>
      </c>
      <c r="D483" s="17" t="s">
        <v>69</v>
      </c>
      <c r="E483" s="17" t="s">
        <v>39</v>
      </c>
      <c r="F483" s="659" t="s">
        <v>54</v>
      </c>
      <c r="G483" s="660" t="s">
        <v>47</v>
      </c>
      <c r="H483" s="660" t="s">
        <v>39</v>
      </c>
      <c r="I483" s="661" t="s">
        <v>281</v>
      </c>
      <c r="J483" s="17" t="s">
        <v>123</v>
      </c>
      <c r="K483" s="33">
        <v>225</v>
      </c>
      <c r="L483" s="33">
        <f>M483-K483</f>
        <v>0</v>
      </c>
      <c r="M483" s="33">
        <v>225</v>
      </c>
      <c r="N483" s="33">
        <v>225</v>
      </c>
    </row>
    <row r="484" spans="1:14" s="14" customFormat="1" ht="36" x14ac:dyDescent="0.35">
      <c r="A484" s="18"/>
      <c r="B484" s="31" t="s">
        <v>222</v>
      </c>
      <c r="C484" s="32" t="s">
        <v>293</v>
      </c>
      <c r="D484" s="17" t="s">
        <v>69</v>
      </c>
      <c r="E484" s="17" t="s">
        <v>39</v>
      </c>
      <c r="F484" s="659" t="s">
        <v>54</v>
      </c>
      <c r="G484" s="660" t="s">
        <v>91</v>
      </c>
      <c r="H484" s="660" t="s">
        <v>45</v>
      </c>
      <c r="I484" s="661" t="s">
        <v>46</v>
      </c>
      <c r="J484" s="17"/>
      <c r="K484" s="33">
        <f t="shared" ref="K484:N484" si="83">K485</f>
        <v>27217.499999999996</v>
      </c>
      <c r="L484" s="33">
        <f t="shared" si="83"/>
        <v>4966.3999999999996</v>
      </c>
      <c r="M484" s="33">
        <f t="shared" si="83"/>
        <v>32183.899999999998</v>
      </c>
      <c r="N484" s="33">
        <f t="shared" si="83"/>
        <v>27227.1</v>
      </c>
    </row>
    <row r="485" spans="1:14" s="152" customFormat="1" ht="34.200000000000003" customHeight="1" x14ac:dyDescent="0.35">
      <c r="A485" s="18"/>
      <c r="B485" s="31" t="s">
        <v>370</v>
      </c>
      <c r="C485" s="32" t="s">
        <v>293</v>
      </c>
      <c r="D485" s="17" t="s">
        <v>69</v>
      </c>
      <c r="E485" s="17" t="s">
        <v>39</v>
      </c>
      <c r="F485" s="659" t="s">
        <v>54</v>
      </c>
      <c r="G485" s="660" t="s">
        <v>91</v>
      </c>
      <c r="H485" s="660" t="s">
        <v>41</v>
      </c>
      <c r="I485" s="661" t="s">
        <v>46</v>
      </c>
      <c r="J485" s="17"/>
      <c r="K485" s="33">
        <f>K486+K490+K492+K494</f>
        <v>27217.499999999996</v>
      </c>
      <c r="L485" s="33">
        <f>L486+L490+L492+L494+L496</f>
        <v>4966.3999999999996</v>
      </c>
      <c r="M485" s="33">
        <f>M486+M490+M492+M494+M496</f>
        <v>32183.899999999998</v>
      </c>
      <c r="N485" s="33">
        <f t="shared" ref="N485" si="84">N486+N490+N492+N494+N496</f>
        <v>27227.1</v>
      </c>
    </row>
    <row r="486" spans="1:14" s="152" customFormat="1" ht="39" customHeight="1" x14ac:dyDescent="0.35">
      <c r="A486" s="18"/>
      <c r="B486" s="112" t="s">
        <v>540</v>
      </c>
      <c r="C486" s="32" t="s">
        <v>293</v>
      </c>
      <c r="D486" s="17" t="s">
        <v>69</v>
      </c>
      <c r="E486" s="17" t="s">
        <v>39</v>
      </c>
      <c r="F486" s="659" t="s">
        <v>54</v>
      </c>
      <c r="G486" s="660" t="s">
        <v>91</v>
      </c>
      <c r="H486" s="660" t="s">
        <v>41</v>
      </c>
      <c r="I486" s="661" t="s">
        <v>93</v>
      </c>
      <c r="J486" s="17"/>
      <c r="K486" s="33">
        <f>K487+K488+K489</f>
        <v>21191.899999999998</v>
      </c>
      <c r="L486" s="33">
        <f>L487+L488+L489</f>
        <v>0</v>
      </c>
      <c r="M486" s="33">
        <f>M487+M488+M489</f>
        <v>21191.899999999998</v>
      </c>
      <c r="N486" s="33">
        <f>N487+N488+N489</f>
        <v>21201.5</v>
      </c>
    </row>
    <row r="487" spans="1:14" s="152" customFormat="1" ht="108" x14ac:dyDescent="0.35">
      <c r="A487" s="18"/>
      <c r="B487" s="31" t="s">
        <v>51</v>
      </c>
      <c r="C487" s="32" t="s">
        <v>293</v>
      </c>
      <c r="D487" s="17" t="s">
        <v>69</v>
      </c>
      <c r="E487" s="17" t="s">
        <v>39</v>
      </c>
      <c r="F487" s="659" t="s">
        <v>54</v>
      </c>
      <c r="G487" s="660" t="s">
        <v>91</v>
      </c>
      <c r="H487" s="660" t="s">
        <v>41</v>
      </c>
      <c r="I487" s="661" t="s">
        <v>93</v>
      </c>
      <c r="J487" s="17" t="s">
        <v>52</v>
      </c>
      <c r="K487" s="33">
        <v>17974.3</v>
      </c>
      <c r="L487" s="33">
        <f>M487-K487</f>
        <v>0</v>
      </c>
      <c r="M487" s="33">
        <v>17974.3</v>
      </c>
      <c r="N487" s="33">
        <v>17974.3</v>
      </c>
    </row>
    <row r="488" spans="1:14" s="14" customFormat="1" ht="54" x14ac:dyDescent="0.35">
      <c r="A488" s="18"/>
      <c r="B488" s="31" t="s">
        <v>57</v>
      </c>
      <c r="C488" s="32" t="s">
        <v>293</v>
      </c>
      <c r="D488" s="17" t="s">
        <v>69</v>
      </c>
      <c r="E488" s="17" t="s">
        <v>39</v>
      </c>
      <c r="F488" s="659" t="s">
        <v>54</v>
      </c>
      <c r="G488" s="660" t="s">
        <v>91</v>
      </c>
      <c r="H488" s="660" t="s">
        <v>41</v>
      </c>
      <c r="I488" s="661" t="s">
        <v>93</v>
      </c>
      <c r="J488" s="17" t="s">
        <v>58</v>
      </c>
      <c r="K488" s="33">
        <v>3160.8</v>
      </c>
      <c r="L488" s="33">
        <f>M488-K488</f>
        <v>0</v>
      </c>
      <c r="M488" s="33">
        <v>3160.8</v>
      </c>
      <c r="N488" s="33">
        <v>3172.4</v>
      </c>
    </row>
    <row r="489" spans="1:14" s="152" customFormat="1" ht="18" x14ac:dyDescent="0.35">
      <c r="A489" s="18"/>
      <c r="B489" s="31" t="s">
        <v>59</v>
      </c>
      <c r="C489" s="32" t="s">
        <v>293</v>
      </c>
      <c r="D489" s="17" t="s">
        <v>69</v>
      </c>
      <c r="E489" s="17" t="s">
        <v>39</v>
      </c>
      <c r="F489" s="659" t="s">
        <v>54</v>
      </c>
      <c r="G489" s="660" t="s">
        <v>91</v>
      </c>
      <c r="H489" s="660" t="s">
        <v>41</v>
      </c>
      <c r="I489" s="661" t="s">
        <v>93</v>
      </c>
      <c r="J489" s="17" t="s">
        <v>60</v>
      </c>
      <c r="K489" s="33">
        <f>47.6+9.2</f>
        <v>56.8</v>
      </c>
      <c r="L489" s="33">
        <f>M489-K489</f>
        <v>0</v>
      </c>
      <c r="M489" s="33">
        <f>47.6+9.2</f>
        <v>56.8</v>
      </c>
      <c r="N489" s="33">
        <f>45.6+9.2</f>
        <v>54.8</v>
      </c>
    </row>
    <row r="490" spans="1:14" s="152" customFormat="1" ht="54" x14ac:dyDescent="0.35">
      <c r="A490" s="18"/>
      <c r="B490" s="31" t="s">
        <v>221</v>
      </c>
      <c r="C490" s="32" t="s">
        <v>293</v>
      </c>
      <c r="D490" s="17" t="s">
        <v>69</v>
      </c>
      <c r="E490" s="17" t="s">
        <v>39</v>
      </c>
      <c r="F490" s="659" t="s">
        <v>54</v>
      </c>
      <c r="G490" s="660" t="s">
        <v>91</v>
      </c>
      <c r="H490" s="660" t="s">
        <v>41</v>
      </c>
      <c r="I490" s="661" t="s">
        <v>295</v>
      </c>
      <c r="J490" s="17"/>
      <c r="K490" s="33">
        <f>K491</f>
        <v>4110</v>
      </c>
      <c r="L490" s="33">
        <f>L491</f>
        <v>-153.59999999999991</v>
      </c>
      <c r="M490" s="33">
        <f>M491</f>
        <v>3956.4</v>
      </c>
      <c r="N490" s="33">
        <f>N491</f>
        <v>4110</v>
      </c>
    </row>
    <row r="491" spans="1:14" s="152" customFormat="1" ht="54" x14ac:dyDescent="0.35">
      <c r="A491" s="18"/>
      <c r="B491" s="31" t="s">
        <v>57</v>
      </c>
      <c r="C491" s="32" t="s">
        <v>293</v>
      </c>
      <c r="D491" s="17" t="s">
        <v>69</v>
      </c>
      <c r="E491" s="17" t="s">
        <v>39</v>
      </c>
      <c r="F491" s="659" t="s">
        <v>54</v>
      </c>
      <c r="G491" s="660" t="s">
        <v>91</v>
      </c>
      <c r="H491" s="660" t="s">
        <v>41</v>
      </c>
      <c r="I491" s="661" t="s">
        <v>295</v>
      </c>
      <c r="J491" s="17" t="s">
        <v>58</v>
      </c>
      <c r="K491" s="33">
        <v>4110</v>
      </c>
      <c r="L491" s="33">
        <f>M491-K491</f>
        <v>-153.59999999999991</v>
      </c>
      <c r="M491" s="33">
        <f>4110-153.6</f>
        <v>3956.4</v>
      </c>
      <c r="N491" s="33">
        <v>4110</v>
      </c>
    </row>
    <row r="492" spans="1:14" s="152" customFormat="1" ht="181.8" customHeight="1" x14ac:dyDescent="0.35">
      <c r="A492" s="18"/>
      <c r="B492" s="31" t="s">
        <v>503</v>
      </c>
      <c r="C492" s="32" t="s">
        <v>293</v>
      </c>
      <c r="D492" s="17" t="s">
        <v>69</v>
      </c>
      <c r="E492" s="17" t="s">
        <v>39</v>
      </c>
      <c r="F492" s="659" t="s">
        <v>54</v>
      </c>
      <c r="G492" s="660" t="s">
        <v>91</v>
      </c>
      <c r="H492" s="660" t="s">
        <v>41</v>
      </c>
      <c r="I492" s="661" t="s">
        <v>451</v>
      </c>
      <c r="J492" s="17"/>
      <c r="K492" s="33">
        <f>K493</f>
        <v>250</v>
      </c>
      <c r="L492" s="33">
        <f>L493</f>
        <v>0</v>
      </c>
      <c r="M492" s="33">
        <f>M493</f>
        <v>250</v>
      </c>
      <c r="N492" s="33">
        <f>N493</f>
        <v>250</v>
      </c>
    </row>
    <row r="493" spans="1:14" s="152" customFormat="1" ht="108" x14ac:dyDescent="0.35">
      <c r="A493" s="18"/>
      <c r="B493" s="31" t="s">
        <v>51</v>
      </c>
      <c r="C493" s="32" t="s">
        <v>293</v>
      </c>
      <c r="D493" s="17" t="s">
        <v>69</v>
      </c>
      <c r="E493" s="17" t="s">
        <v>39</v>
      </c>
      <c r="F493" s="659" t="s">
        <v>54</v>
      </c>
      <c r="G493" s="660" t="s">
        <v>91</v>
      </c>
      <c r="H493" s="660" t="s">
        <v>41</v>
      </c>
      <c r="I493" s="661" t="s">
        <v>451</v>
      </c>
      <c r="J493" s="17" t="s">
        <v>52</v>
      </c>
      <c r="K493" s="33">
        <v>250</v>
      </c>
      <c r="L493" s="33">
        <f>M493-K493</f>
        <v>0</v>
      </c>
      <c r="M493" s="33">
        <v>250</v>
      </c>
      <c r="N493" s="338">
        <v>250</v>
      </c>
    </row>
    <row r="494" spans="1:14" s="152" customFormat="1" ht="57" customHeight="1" x14ac:dyDescent="0.35">
      <c r="A494" s="18"/>
      <c r="B494" s="31" t="s">
        <v>506</v>
      </c>
      <c r="C494" s="32" t="s">
        <v>293</v>
      </c>
      <c r="D494" s="17" t="s">
        <v>69</v>
      </c>
      <c r="E494" s="17" t="s">
        <v>39</v>
      </c>
      <c r="F494" s="659" t="s">
        <v>54</v>
      </c>
      <c r="G494" s="660" t="s">
        <v>91</v>
      </c>
      <c r="H494" s="660" t="s">
        <v>41</v>
      </c>
      <c r="I494" s="661" t="s">
        <v>473</v>
      </c>
      <c r="J494" s="17"/>
      <c r="K494" s="33">
        <f>K495</f>
        <v>1665.6</v>
      </c>
      <c r="L494" s="33">
        <f>L495</f>
        <v>0</v>
      </c>
      <c r="M494" s="33">
        <f>M495</f>
        <v>1665.6</v>
      </c>
      <c r="N494" s="33">
        <f>N495</f>
        <v>1665.6</v>
      </c>
    </row>
    <row r="495" spans="1:14" s="152" customFormat="1" ht="108" x14ac:dyDescent="0.35">
      <c r="A495" s="18"/>
      <c r="B495" s="31" t="s">
        <v>51</v>
      </c>
      <c r="C495" s="32" t="s">
        <v>293</v>
      </c>
      <c r="D495" s="17" t="s">
        <v>69</v>
      </c>
      <c r="E495" s="17" t="s">
        <v>39</v>
      </c>
      <c r="F495" s="659" t="s">
        <v>54</v>
      </c>
      <c r="G495" s="660" t="s">
        <v>91</v>
      </c>
      <c r="H495" s="660" t="s">
        <v>41</v>
      </c>
      <c r="I495" s="661" t="s">
        <v>473</v>
      </c>
      <c r="J495" s="17" t="s">
        <v>52</v>
      </c>
      <c r="K495" s="33">
        <v>1665.6</v>
      </c>
      <c r="L495" s="33">
        <f>M495-K495</f>
        <v>0</v>
      </c>
      <c r="M495" s="33">
        <v>1665.6</v>
      </c>
      <c r="N495" s="338">
        <v>1665.6</v>
      </c>
    </row>
    <row r="496" spans="1:14" s="152" customFormat="1" ht="183" customHeight="1" x14ac:dyDescent="0.35">
      <c r="A496" s="18"/>
      <c r="B496" s="31" t="s">
        <v>791</v>
      </c>
      <c r="C496" s="32" t="s">
        <v>293</v>
      </c>
      <c r="D496" s="17" t="s">
        <v>69</v>
      </c>
      <c r="E496" s="17" t="s">
        <v>39</v>
      </c>
      <c r="F496" s="659" t="s">
        <v>54</v>
      </c>
      <c r="G496" s="660" t="s">
        <v>91</v>
      </c>
      <c r="H496" s="660" t="s">
        <v>41</v>
      </c>
      <c r="I496" s="661" t="s">
        <v>785</v>
      </c>
      <c r="J496" s="17"/>
      <c r="K496" s="33"/>
      <c r="L496" s="33">
        <f>L497</f>
        <v>5120</v>
      </c>
      <c r="M496" s="33">
        <f t="shared" ref="M496:N496" si="85">M497</f>
        <v>5120</v>
      </c>
      <c r="N496" s="33">
        <f t="shared" si="85"/>
        <v>0</v>
      </c>
    </row>
    <row r="497" spans="1:14" s="152" customFormat="1" ht="54" x14ac:dyDescent="0.35">
      <c r="A497" s="18"/>
      <c r="B497" s="31" t="s">
        <v>57</v>
      </c>
      <c r="C497" s="32" t="s">
        <v>293</v>
      </c>
      <c r="D497" s="17" t="s">
        <v>69</v>
      </c>
      <c r="E497" s="17" t="s">
        <v>39</v>
      </c>
      <c r="F497" s="659" t="s">
        <v>54</v>
      </c>
      <c r="G497" s="660" t="s">
        <v>91</v>
      </c>
      <c r="H497" s="660" t="s">
        <v>41</v>
      </c>
      <c r="I497" s="661" t="s">
        <v>785</v>
      </c>
      <c r="J497" s="17" t="s">
        <v>58</v>
      </c>
      <c r="K497" s="33"/>
      <c r="L497" s="33">
        <f>M497-K497</f>
        <v>5120</v>
      </c>
      <c r="M497" s="33">
        <f>4966.4+153.6</f>
        <v>5120</v>
      </c>
      <c r="N497" s="338">
        <v>0</v>
      </c>
    </row>
    <row r="498" spans="1:14" s="152" customFormat="1" ht="18" x14ac:dyDescent="0.35">
      <c r="A498" s="18"/>
      <c r="B498" s="31" t="s">
        <v>199</v>
      </c>
      <c r="C498" s="32" t="s">
        <v>293</v>
      </c>
      <c r="D498" s="17" t="s">
        <v>69</v>
      </c>
      <c r="E498" s="17" t="s">
        <v>41</v>
      </c>
      <c r="F498" s="659"/>
      <c r="G498" s="660"/>
      <c r="H498" s="660"/>
      <c r="I498" s="661"/>
      <c r="J498" s="17"/>
      <c r="K498" s="33">
        <f t="shared" ref="K498:N506" si="86">K499</f>
        <v>4319.5</v>
      </c>
      <c r="L498" s="33">
        <f t="shared" si="86"/>
        <v>0</v>
      </c>
      <c r="M498" s="33">
        <f t="shared" si="86"/>
        <v>4319.5</v>
      </c>
      <c r="N498" s="33">
        <f t="shared" si="86"/>
        <v>629.70000000000005</v>
      </c>
    </row>
    <row r="499" spans="1:14" s="152" customFormat="1" ht="56.25" customHeight="1" x14ac:dyDescent="0.35">
      <c r="A499" s="18"/>
      <c r="B499" s="31" t="s">
        <v>219</v>
      </c>
      <c r="C499" s="32" t="s">
        <v>293</v>
      </c>
      <c r="D499" s="17" t="s">
        <v>69</v>
      </c>
      <c r="E499" s="17" t="s">
        <v>41</v>
      </c>
      <c r="F499" s="659" t="s">
        <v>54</v>
      </c>
      <c r="G499" s="660" t="s">
        <v>44</v>
      </c>
      <c r="H499" s="660" t="s">
        <v>45</v>
      </c>
      <c r="I499" s="661" t="s">
        <v>46</v>
      </c>
      <c r="J499" s="17"/>
      <c r="K499" s="33">
        <f t="shared" si="86"/>
        <v>4319.5</v>
      </c>
      <c r="L499" s="33">
        <f t="shared" si="86"/>
        <v>0</v>
      </c>
      <c r="M499" s="33">
        <f t="shared" si="86"/>
        <v>4319.5</v>
      </c>
      <c r="N499" s="33">
        <f t="shared" si="86"/>
        <v>629.70000000000005</v>
      </c>
    </row>
    <row r="500" spans="1:14" s="152" customFormat="1" ht="36" x14ac:dyDescent="0.35">
      <c r="A500" s="18"/>
      <c r="B500" s="37" t="s">
        <v>220</v>
      </c>
      <c r="C500" s="32" t="s">
        <v>293</v>
      </c>
      <c r="D500" s="17" t="s">
        <v>69</v>
      </c>
      <c r="E500" s="17" t="s">
        <v>41</v>
      </c>
      <c r="F500" s="659" t="s">
        <v>54</v>
      </c>
      <c r="G500" s="660" t="s">
        <v>47</v>
      </c>
      <c r="H500" s="660" t="s">
        <v>45</v>
      </c>
      <c r="I500" s="661" t="s">
        <v>46</v>
      </c>
      <c r="J500" s="17"/>
      <c r="K500" s="33">
        <f>K501+K505</f>
        <v>4319.5</v>
      </c>
      <c r="L500" s="33">
        <f>L501+L505</f>
        <v>0</v>
      </c>
      <c r="M500" s="33">
        <f>M501+M505</f>
        <v>4319.5</v>
      </c>
      <c r="N500" s="33">
        <f>N501+N505</f>
        <v>629.70000000000005</v>
      </c>
    </row>
    <row r="501" spans="1:14" s="152" customFormat="1" ht="54" x14ac:dyDescent="0.35">
      <c r="A501" s="18"/>
      <c r="B501" s="31" t="s">
        <v>294</v>
      </c>
      <c r="C501" s="32" t="s">
        <v>293</v>
      </c>
      <c r="D501" s="17" t="s">
        <v>69</v>
      </c>
      <c r="E501" s="17" t="s">
        <v>41</v>
      </c>
      <c r="F501" s="659" t="s">
        <v>54</v>
      </c>
      <c r="G501" s="660" t="s">
        <v>47</v>
      </c>
      <c r="H501" s="660" t="s">
        <v>41</v>
      </c>
      <c r="I501" s="661" t="s">
        <v>46</v>
      </c>
      <c r="J501" s="17"/>
      <c r="K501" s="33">
        <f>K502</f>
        <v>629.70000000000005</v>
      </c>
      <c r="L501" s="33">
        <f>L502</f>
        <v>0</v>
      </c>
      <c r="M501" s="33">
        <f>M502</f>
        <v>629.70000000000005</v>
      </c>
      <c r="N501" s="33">
        <f>N502</f>
        <v>629.70000000000005</v>
      </c>
    </row>
    <row r="502" spans="1:14" s="152" customFormat="1" ht="54" x14ac:dyDescent="0.35">
      <c r="A502" s="18"/>
      <c r="B502" s="31" t="s">
        <v>221</v>
      </c>
      <c r="C502" s="32" t="s">
        <v>293</v>
      </c>
      <c r="D502" s="17" t="s">
        <v>69</v>
      </c>
      <c r="E502" s="17" t="s">
        <v>41</v>
      </c>
      <c r="F502" s="659" t="s">
        <v>54</v>
      </c>
      <c r="G502" s="660" t="s">
        <v>47</v>
      </c>
      <c r="H502" s="660" t="s">
        <v>41</v>
      </c>
      <c r="I502" s="661" t="s">
        <v>295</v>
      </c>
      <c r="J502" s="17"/>
      <c r="K502" s="33">
        <f>K503+K504</f>
        <v>629.70000000000005</v>
      </c>
      <c r="L502" s="33">
        <f>L503+L504</f>
        <v>0</v>
      </c>
      <c r="M502" s="33">
        <f>M503+M504</f>
        <v>629.70000000000005</v>
      </c>
      <c r="N502" s="33">
        <f>N503+N504</f>
        <v>629.70000000000005</v>
      </c>
    </row>
    <row r="503" spans="1:14" s="152" customFormat="1" ht="108" x14ac:dyDescent="0.35">
      <c r="A503" s="18"/>
      <c r="B503" s="31" t="s">
        <v>51</v>
      </c>
      <c r="C503" s="32" t="s">
        <v>293</v>
      </c>
      <c r="D503" s="17" t="s">
        <v>69</v>
      </c>
      <c r="E503" s="17" t="s">
        <v>41</v>
      </c>
      <c r="F503" s="659" t="s">
        <v>54</v>
      </c>
      <c r="G503" s="660" t="s">
        <v>47</v>
      </c>
      <c r="H503" s="660" t="s">
        <v>41</v>
      </c>
      <c r="I503" s="661" t="s">
        <v>295</v>
      </c>
      <c r="J503" s="17" t="s">
        <v>52</v>
      </c>
      <c r="K503" s="33">
        <v>561.70000000000005</v>
      </c>
      <c r="L503" s="33">
        <f>M503-K503</f>
        <v>0</v>
      </c>
      <c r="M503" s="33">
        <v>561.70000000000005</v>
      </c>
      <c r="N503" s="451">
        <v>561.70000000000005</v>
      </c>
    </row>
    <row r="504" spans="1:14" s="152" customFormat="1" ht="54" x14ac:dyDescent="0.35">
      <c r="A504" s="18"/>
      <c r="B504" s="31" t="s">
        <v>57</v>
      </c>
      <c r="C504" s="32" t="s">
        <v>293</v>
      </c>
      <c r="D504" s="17" t="s">
        <v>69</v>
      </c>
      <c r="E504" s="17" t="s">
        <v>41</v>
      </c>
      <c r="F504" s="659" t="s">
        <v>54</v>
      </c>
      <c r="G504" s="660" t="s">
        <v>47</v>
      </c>
      <c r="H504" s="660" t="s">
        <v>41</v>
      </c>
      <c r="I504" s="661" t="s">
        <v>295</v>
      </c>
      <c r="J504" s="17" t="s">
        <v>58</v>
      </c>
      <c r="K504" s="33">
        <v>68</v>
      </c>
      <c r="L504" s="33">
        <f>M504-K504</f>
        <v>0</v>
      </c>
      <c r="M504" s="33">
        <v>68</v>
      </c>
      <c r="N504" s="451">
        <v>68</v>
      </c>
    </row>
    <row r="505" spans="1:14" s="152" customFormat="1" ht="21" customHeight="1" x14ac:dyDescent="0.35">
      <c r="A505" s="18"/>
      <c r="B505" s="31" t="s">
        <v>577</v>
      </c>
      <c r="C505" s="32" t="s">
        <v>293</v>
      </c>
      <c r="D505" s="17" t="s">
        <v>69</v>
      </c>
      <c r="E505" s="17" t="s">
        <v>41</v>
      </c>
      <c r="F505" s="659" t="s">
        <v>54</v>
      </c>
      <c r="G505" s="660" t="s">
        <v>47</v>
      </c>
      <c r="H505" s="660" t="s">
        <v>576</v>
      </c>
      <c r="I505" s="661" t="s">
        <v>46</v>
      </c>
      <c r="J505" s="17"/>
      <c r="K505" s="33">
        <f t="shared" si="86"/>
        <v>3689.8</v>
      </c>
      <c r="L505" s="33">
        <f t="shared" si="86"/>
        <v>0</v>
      </c>
      <c r="M505" s="33">
        <f t="shared" si="86"/>
        <v>3689.8</v>
      </c>
      <c r="N505" s="33">
        <f t="shared" si="86"/>
        <v>0</v>
      </c>
    </row>
    <row r="506" spans="1:14" s="152" customFormat="1" ht="54" x14ac:dyDescent="0.35">
      <c r="A506" s="18"/>
      <c r="B506" s="31" t="s">
        <v>578</v>
      </c>
      <c r="C506" s="32" t="s">
        <v>293</v>
      </c>
      <c r="D506" s="17" t="s">
        <v>69</v>
      </c>
      <c r="E506" s="17" t="s">
        <v>41</v>
      </c>
      <c r="F506" s="659" t="s">
        <v>54</v>
      </c>
      <c r="G506" s="660" t="s">
        <v>47</v>
      </c>
      <c r="H506" s="660" t="s">
        <v>576</v>
      </c>
      <c r="I506" s="661" t="s">
        <v>588</v>
      </c>
      <c r="J506" s="17"/>
      <c r="K506" s="33">
        <f t="shared" si="86"/>
        <v>3689.8</v>
      </c>
      <c r="L506" s="33">
        <f t="shared" si="86"/>
        <v>0</v>
      </c>
      <c r="M506" s="33">
        <f t="shared" si="86"/>
        <v>3689.8</v>
      </c>
      <c r="N506" s="33">
        <f t="shared" si="86"/>
        <v>0</v>
      </c>
    </row>
    <row r="507" spans="1:14" s="152" customFormat="1" ht="54" x14ac:dyDescent="0.35">
      <c r="A507" s="18"/>
      <c r="B507" s="31" t="s">
        <v>57</v>
      </c>
      <c r="C507" s="32" t="s">
        <v>293</v>
      </c>
      <c r="D507" s="17" t="s">
        <v>69</v>
      </c>
      <c r="E507" s="17" t="s">
        <v>41</v>
      </c>
      <c r="F507" s="659" t="s">
        <v>54</v>
      </c>
      <c r="G507" s="660" t="s">
        <v>47</v>
      </c>
      <c r="H507" s="660" t="s">
        <v>576</v>
      </c>
      <c r="I507" s="661" t="s">
        <v>588</v>
      </c>
      <c r="J507" s="17" t="s">
        <v>58</v>
      </c>
      <c r="K507" s="33">
        <v>3689.8</v>
      </c>
      <c r="L507" s="33">
        <f>M507-K507</f>
        <v>0</v>
      </c>
      <c r="M507" s="33">
        <v>3689.8</v>
      </c>
      <c r="N507" s="338">
        <v>0</v>
      </c>
    </row>
    <row r="508" spans="1:14" s="14" customFormat="1" ht="36" x14ac:dyDescent="0.35">
      <c r="A508" s="18"/>
      <c r="B508" s="37" t="s">
        <v>201</v>
      </c>
      <c r="C508" s="32" t="s">
        <v>293</v>
      </c>
      <c r="D508" s="17" t="s">
        <v>69</v>
      </c>
      <c r="E508" s="17" t="s">
        <v>67</v>
      </c>
      <c r="F508" s="659"/>
      <c r="G508" s="660"/>
      <c r="H508" s="660"/>
      <c r="I508" s="661"/>
      <c r="J508" s="17"/>
      <c r="K508" s="33">
        <f t="shared" ref="K508:N511" si="87">K509</f>
        <v>2486.9</v>
      </c>
      <c r="L508" s="33">
        <f t="shared" si="87"/>
        <v>0</v>
      </c>
      <c r="M508" s="33">
        <f t="shared" si="87"/>
        <v>2486.9</v>
      </c>
      <c r="N508" s="33">
        <f t="shared" si="87"/>
        <v>2487.9</v>
      </c>
    </row>
    <row r="509" spans="1:14" s="14" customFormat="1" ht="60" customHeight="1" x14ac:dyDescent="0.35">
      <c r="A509" s="18"/>
      <c r="B509" s="31" t="s">
        <v>219</v>
      </c>
      <c r="C509" s="32" t="s">
        <v>293</v>
      </c>
      <c r="D509" s="17" t="s">
        <v>69</v>
      </c>
      <c r="E509" s="17" t="s">
        <v>67</v>
      </c>
      <c r="F509" s="659" t="s">
        <v>54</v>
      </c>
      <c r="G509" s="660" t="s">
        <v>44</v>
      </c>
      <c r="H509" s="660" t="s">
        <v>45</v>
      </c>
      <c r="I509" s="661" t="s">
        <v>46</v>
      </c>
      <c r="J509" s="17"/>
      <c r="K509" s="33">
        <f t="shared" si="87"/>
        <v>2486.9</v>
      </c>
      <c r="L509" s="33">
        <f t="shared" si="87"/>
        <v>0</v>
      </c>
      <c r="M509" s="33">
        <f t="shared" si="87"/>
        <v>2486.9</v>
      </c>
      <c r="N509" s="33">
        <f t="shared" si="87"/>
        <v>2487.9</v>
      </c>
    </row>
    <row r="510" spans="1:14" s="14" customFormat="1" ht="36" x14ac:dyDescent="0.35">
      <c r="A510" s="18"/>
      <c r="B510" s="35" t="s">
        <v>222</v>
      </c>
      <c r="C510" s="32" t="s">
        <v>293</v>
      </c>
      <c r="D510" s="17" t="s">
        <v>69</v>
      </c>
      <c r="E510" s="17" t="s">
        <v>67</v>
      </c>
      <c r="F510" s="659" t="s">
        <v>54</v>
      </c>
      <c r="G510" s="660" t="s">
        <v>91</v>
      </c>
      <c r="H510" s="660" t="s">
        <v>45</v>
      </c>
      <c r="I510" s="661" t="s">
        <v>46</v>
      </c>
      <c r="J510" s="17"/>
      <c r="K510" s="33">
        <f t="shared" si="87"/>
        <v>2486.9</v>
      </c>
      <c r="L510" s="33">
        <f t="shared" si="87"/>
        <v>0</v>
      </c>
      <c r="M510" s="33">
        <f t="shared" si="87"/>
        <v>2486.9</v>
      </c>
      <c r="N510" s="33">
        <f t="shared" si="87"/>
        <v>2487.9</v>
      </c>
    </row>
    <row r="511" spans="1:14" s="14" customFormat="1" ht="36" x14ac:dyDescent="0.35">
      <c r="A511" s="18"/>
      <c r="B511" s="31" t="s">
        <v>284</v>
      </c>
      <c r="C511" s="32" t="s">
        <v>293</v>
      </c>
      <c r="D511" s="17" t="s">
        <v>69</v>
      </c>
      <c r="E511" s="17" t="s">
        <v>67</v>
      </c>
      <c r="F511" s="659" t="s">
        <v>54</v>
      </c>
      <c r="G511" s="660" t="s">
        <v>91</v>
      </c>
      <c r="H511" s="660" t="s">
        <v>39</v>
      </c>
      <c r="I511" s="661" t="s">
        <v>46</v>
      </c>
      <c r="J511" s="17"/>
      <c r="K511" s="33">
        <f t="shared" si="87"/>
        <v>2486.9</v>
      </c>
      <c r="L511" s="33">
        <f t="shared" si="87"/>
        <v>0</v>
      </c>
      <c r="M511" s="33">
        <f t="shared" si="87"/>
        <v>2486.9</v>
      </c>
      <c r="N511" s="33">
        <f t="shared" si="87"/>
        <v>2487.9</v>
      </c>
    </row>
    <row r="512" spans="1:14" s="14" customFormat="1" ht="36" x14ac:dyDescent="0.35">
      <c r="A512" s="18"/>
      <c r="B512" s="31" t="s">
        <v>49</v>
      </c>
      <c r="C512" s="32" t="s">
        <v>293</v>
      </c>
      <c r="D512" s="17" t="s">
        <v>69</v>
      </c>
      <c r="E512" s="17" t="s">
        <v>67</v>
      </c>
      <c r="F512" s="659" t="s">
        <v>54</v>
      </c>
      <c r="G512" s="660" t="s">
        <v>91</v>
      </c>
      <c r="H512" s="660" t="s">
        <v>39</v>
      </c>
      <c r="I512" s="661" t="s">
        <v>50</v>
      </c>
      <c r="J512" s="17"/>
      <c r="K512" s="33">
        <f>K513+K514+K515</f>
        <v>2486.9</v>
      </c>
      <c r="L512" s="33">
        <f>L513+L514+L515</f>
        <v>0</v>
      </c>
      <c r="M512" s="33">
        <f>M513+M514+M515</f>
        <v>2486.9</v>
      </c>
      <c r="N512" s="33">
        <f>N513+N514+N515</f>
        <v>2487.9</v>
      </c>
    </row>
    <row r="513" spans="1:14" s="14" customFormat="1" ht="108" x14ac:dyDescent="0.35">
      <c r="A513" s="18"/>
      <c r="B513" s="31" t="s">
        <v>51</v>
      </c>
      <c r="C513" s="32" t="s">
        <v>293</v>
      </c>
      <c r="D513" s="17" t="s">
        <v>69</v>
      </c>
      <c r="E513" s="17" t="s">
        <v>67</v>
      </c>
      <c r="F513" s="659" t="s">
        <v>54</v>
      </c>
      <c r="G513" s="660" t="s">
        <v>91</v>
      </c>
      <c r="H513" s="660" t="s">
        <v>39</v>
      </c>
      <c r="I513" s="661" t="s">
        <v>50</v>
      </c>
      <c r="J513" s="17" t="s">
        <v>52</v>
      </c>
      <c r="K513" s="33">
        <v>2442.4</v>
      </c>
      <c r="L513" s="33">
        <f>M513-K513</f>
        <v>0</v>
      </c>
      <c r="M513" s="33">
        <v>2442.4</v>
      </c>
      <c r="N513" s="33">
        <v>2442.4</v>
      </c>
    </row>
    <row r="514" spans="1:14" s="14" customFormat="1" ht="54" x14ac:dyDescent="0.35">
      <c r="A514" s="18"/>
      <c r="B514" s="31" t="s">
        <v>57</v>
      </c>
      <c r="C514" s="32" t="s">
        <v>293</v>
      </c>
      <c r="D514" s="17" t="s">
        <v>69</v>
      </c>
      <c r="E514" s="17" t="s">
        <v>67</v>
      </c>
      <c r="F514" s="659" t="s">
        <v>54</v>
      </c>
      <c r="G514" s="660" t="s">
        <v>91</v>
      </c>
      <c r="H514" s="660" t="s">
        <v>39</v>
      </c>
      <c r="I514" s="661" t="s">
        <v>50</v>
      </c>
      <c r="J514" s="17" t="s">
        <v>58</v>
      </c>
      <c r="K514" s="33">
        <f>42.5+0.1</f>
        <v>42.6</v>
      </c>
      <c r="L514" s="33">
        <f>M514-K514</f>
        <v>0</v>
      </c>
      <c r="M514" s="33">
        <f>42.5+0.1</f>
        <v>42.6</v>
      </c>
      <c r="N514" s="33">
        <f>43.6+0.1</f>
        <v>43.7</v>
      </c>
    </row>
    <row r="515" spans="1:14" s="14" customFormat="1" ht="18" x14ac:dyDescent="0.35">
      <c r="A515" s="18"/>
      <c r="B515" s="31" t="s">
        <v>59</v>
      </c>
      <c r="C515" s="32" t="s">
        <v>293</v>
      </c>
      <c r="D515" s="17" t="s">
        <v>69</v>
      </c>
      <c r="E515" s="17" t="s">
        <v>67</v>
      </c>
      <c r="F515" s="659" t="s">
        <v>54</v>
      </c>
      <c r="G515" s="660" t="s">
        <v>91</v>
      </c>
      <c r="H515" s="660" t="s">
        <v>39</v>
      </c>
      <c r="I515" s="661" t="s">
        <v>50</v>
      </c>
      <c r="J515" s="17" t="s">
        <v>60</v>
      </c>
      <c r="K515" s="33">
        <v>1.9</v>
      </c>
      <c r="L515" s="33">
        <f>M515-K515</f>
        <v>0</v>
      </c>
      <c r="M515" s="33">
        <v>1.9</v>
      </c>
      <c r="N515" s="33">
        <v>1.8</v>
      </c>
    </row>
    <row r="516" spans="1:14" s="14" customFormat="1" ht="18" x14ac:dyDescent="0.35">
      <c r="A516" s="18"/>
      <c r="B516" s="31"/>
      <c r="C516" s="32"/>
      <c r="D516" s="17"/>
      <c r="E516" s="17"/>
      <c r="F516" s="659"/>
      <c r="G516" s="660"/>
      <c r="H516" s="660"/>
      <c r="I516" s="661"/>
      <c r="J516" s="17"/>
      <c r="K516" s="33"/>
      <c r="L516" s="33"/>
      <c r="M516" s="33"/>
      <c r="N516" s="33"/>
    </row>
    <row r="517" spans="1:14" s="152" customFormat="1" ht="52.2" x14ac:dyDescent="0.3">
      <c r="A517" s="151">
        <v>8</v>
      </c>
      <c r="B517" s="25" t="s">
        <v>11</v>
      </c>
      <c r="C517" s="26" t="s">
        <v>289</v>
      </c>
      <c r="D517" s="27"/>
      <c r="E517" s="27"/>
      <c r="F517" s="28"/>
      <c r="G517" s="29"/>
      <c r="H517" s="29"/>
      <c r="I517" s="30"/>
      <c r="J517" s="27"/>
      <c r="K517" s="47">
        <f>K531+K518</f>
        <v>6956.4</v>
      </c>
      <c r="L517" s="47">
        <f>L531+L518</f>
        <v>0</v>
      </c>
      <c r="M517" s="47">
        <f>M531+M518</f>
        <v>6956.4</v>
      </c>
      <c r="N517" s="47">
        <f>N531+N518</f>
        <v>6961.8999999999987</v>
      </c>
    </row>
    <row r="518" spans="1:14" s="152" customFormat="1" ht="18" x14ac:dyDescent="0.35">
      <c r="A518" s="151"/>
      <c r="B518" s="31" t="s">
        <v>38</v>
      </c>
      <c r="C518" s="32" t="s">
        <v>289</v>
      </c>
      <c r="D518" s="17" t="s">
        <v>39</v>
      </c>
      <c r="E518" s="17"/>
      <c r="F518" s="659"/>
      <c r="G518" s="660"/>
      <c r="H518" s="660"/>
      <c r="I518" s="661"/>
      <c r="J518" s="17"/>
      <c r="K518" s="275">
        <f t="shared" ref="K518:N520" si="88">K519</f>
        <v>150.89999999999998</v>
      </c>
      <c r="L518" s="275">
        <f t="shared" si="88"/>
        <v>0</v>
      </c>
      <c r="M518" s="275">
        <f t="shared" si="88"/>
        <v>150.89999999999998</v>
      </c>
      <c r="N518" s="275">
        <f t="shared" si="88"/>
        <v>150.89999999999998</v>
      </c>
    </row>
    <row r="519" spans="1:14" s="152" customFormat="1" ht="18" x14ac:dyDescent="0.35">
      <c r="A519" s="151"/>
      <c r="B519" s="31" t="s">
        <v>72</v>
      </c>
      <c r="C519" s="32" t="s">
        <v>289</v>
      </c>
      <c r="D519" s="17" t="s">
        <v>39</v>
      </c>
      <c r="E519" s="17" t="s">
        <v>73</v>
      </c>
      <c r="F519" s="659"/>
      <c r="G519" s="660"/>
      <c r="H519" s="660"/>
      <c r="I519" s="661"/>
      <c r="J519" s="17"/>
      <c r="K519" s="275">
        <f t="shared" si="88"/>
        <v>150.89999999999998</v>
      </c>
      <c r="L519" s="275">
        <f t="shared" si="88"/>
        <v>0</v>
      </c>
      <c r="M519" s="275">
        <f t="shared" si="88"/>
        <v>150.89999999999998</v>
      </c>
      <c r="N519" s="275">
        <f t="shared" si="88"/>
        <v>150.89999999999998</v>
      </c>
    </row>
    <row r="520" spans="1:14" s="152" customFormat="1" ht="54" x14ac:dyDescent="0.35">
      <c r="A520" s="151"/>
      <c r="B520" s="31" t="s">
        <v>223</v>
      </c>
      <c r="C520" s="32" t="s">
        <v>289</v>
      </c>
      <c r="D520" s="17" t="s">
        <v>39</v>
      </c>
      <c r="E520" s="17" t="s">
        <v>73</v>
      </c>
      <c r="F520" s="659" t="s">
        <v>67</v>
      </c>
      <c r="G520" s="660" t="s">
        <v>44</v>
      </c>
      <c r="H520" s="660" t="s">
        <v>45</v>
      </c>
      <c r="I520" s="661" t="s">
        <v>46</v>
      </c>
      <c r="J520" s="17"/>
      <c r="K520" s="275">
        <f t="shared" si="88"/>
        <v>150.89999999999998</v>
      </c>
      <c r="L520" s="275">
        <f t="shared" si="88"/>
        <v>0</v>
      </c>
      <c r="M520" s="275">
        <f t="shared" si="88"/>
        <v>150.89999999999998</v>
      </c>
      <c r="N520" s="275">
        <f t="shared" si="88"/>
        <v>150.89999999999998</v>
      </c>
    </row>
    <row r="521" spans="1:14" s="152" customFormat="1" ht="36" x14ac:dyDescent="0.35">
      <c r="A521" s="151"/>
      <c r="B521" s="31" t="s">
        <v>222</v>
      </c>
      <c r="C521" s="32" t="s">
        <v>289</v>
      </c>
      <c r="D521" s="17" t="s">
        <v>39</v>
      </c>
      <c r="E521" s="17" t="s">
        <v>73</v>
      </c>
      <c r="F521" s="659" t="s">
        <v>67</v>
      </c>
      <c r="G521" s="660" t="s">
        <v>91</v>
      </c>
      <c r="H521" s="660" t="s">
        <v>45</v>
      </c>
      <c r="I521" s="661" t="s">
        <v>46</v>
      </c>
      <c r="J521" s="17"/>
      <c r="K521" s="275">
        <f>K522+K525+K528</f>
        <v>150.89999999999998</v>
      </c>
      <c r="L521" s="275">
        <f>L522+L525+L528</f>
        <v>0</v>
      </c>
      <c r="M521" s="275">
        <f>M522+M525+M528</f>
        <v>150.89999999999998</v>
      </c>
      <c r="N521" s="275">
        <f>N522+N525+N528</f>
        <v>150.89999999999998</v>
      </c>
    </row>
    <row r="522" spans="1:14" s="152" customFormat="1" ht="36" x14ac:dyDescent="0.35">
      <c r="A522" s="151"/>
      <c r="B522" s="313" t="s">
        <v>360</v>
      </c>
      <c r="C522" s="32" t="s">
        <v>289</v>
      </c>
      <c r="D522" s="17" t="s">
        <v>39</v>
      </c>
      <c r="E522" s="17" t="s">
        <v>73</v>
      </c>
      <c r="F522" s="659" t="s">
        <v>67</v>
      </c>
      <c r="G522" s="660" t="s">
        <v>91</v>
      </c>
      <c r="H522" s="660" t="s">
        <v>41</v>
      </c>
      <c r="I522" s="661" t="s">
        <v>46</v>
      </c>
      <c r="J522" s="17"/>
      <c r="K522" s="275">
        <f t="shared" ref="K522:N523" si="89">K523</f>
        <v>93.6</v>
      </c>
      <c r="L522" s="275">
        <f t="shared" si="89"/>
        <v>0</v>
      </c>
      <c r="M522" s="275">
        <f t="shared" si="89"/>
        <v>93.6</v>
      </c>
      <c r="N522" s="275">
        <f t="shared" si="89"/>
        <v>93.6</v>
      </c>
    </row>
    <row r="523" spans="1:14" s="152" customFormat="1" ht="57" customHeight="1" x14ac:dyDescent="0.35">
      <c r="A523" s="151"/>
      <c r="B523" s="313" t="s">
        <v>361</v>
      </c>
      <c r="C523" s="32" t="s">
        <v>289</v>
      </c>
      <c r="D523" s="17" t="s">
        <v>39</v>
      </c>
      <c r="E523" s="17" t="s">
        <v>73</v>
      </c>
      <c r="F523" s="659" t="s">
        <v>67</v>
      </c>
      <c r="G523" s="660" t="s">
        <v>91</v>
      </c>
      <c r="H523" s="660" t="s">
        <v>41</v>
      </c>
      <c r="I523" s="661" t="s">
        <v>107</v>
      </c>
      <c r="J523" s="17"/>
      <c r="K523" s="275">
        <f t="shared" si="89"/>
        <v>93.6</v>
      </c>
      <c r="L523" s="275">
        <f t="shared" si="89"/>
        <v>0</v>
      </c>
      <c r="M523" s="275">
        <f t="shared" si="89"/>
        <v>93.6</v>
      </c>
      <c r="N523" s="275">
        <f t="shared" si="89"/>
        <v>93.6</v>
      </c>
    </row>
    <row r="524" spans="1:14" s="152" customFormat="1" ht="54" x14ac:dyDescent="0.35">
      <c r="A524" s="151"/>
      <c r="B524" s="313" t="s">
        <v>57</v>
      </c>
      <c r="C524" s="32" t="s">
        <v>289</v>
      </c>
      <c r="D524" s="17" t="s">
        <v>39</v>
      </c>
      <c r="E524" s="17" t="s">
        <v>73</v>
      </c>
      <c r="F524" s="659" t="s">
        <v>67</v>
      </c>
      <c r="G524" s="660" t="s">
        <v>91</v>
      </c>
      <c r="H524" s="660" t="s">
        <v>41</v>
      </c>
      <c r="I524" s="661" t="s">
        <v>107</v>
      </c>
      <c r="J524" s="17" t="s">
        <v>58</v>
      </c>
      <c r="K524" s="275">
        <v>93.6</v>
      </c>
      <c r="L524" s="33">
        <f>M524-K524</f>
        <v>0</v>
      </c>
      <c r="M524" s="275">
        <v>93.6</v>
      </c>
      <c r="N524" s="275">
        <v>93.6</v>
      </c>
    </row>
    <row r="525" spans="1:14" s="152" customFormat="1" ht="36" x14ac:dyDescent="0.35">
      <c r="A525" s="151"/>
      <c r="B525" s="31" t="s">
        <v>544</v>
      </c>
      <c r="C525" s="32" t="s">
        <v>289</v>
      </c>
      <c r="D525" s="17" t="s">
        <v>39</v>
      </c>
      <c r="E525" s="17" t="s">
        <v>73</v>
      </c>
      <c r="F525" s="659" t="s">
        <v>67</v>
      </c>
      <c r="G525" s="660" t="s">
        <v>91</v>
      </c>
      <c r="H525" s="660" t="s">
        <v>65</v>
      </c>
      <c r="I525" s="661" t="s">
        <v>46</v>
      </c>
      <c r="J525" s="17"/>
      <c r="K525" s="275">
        <f t="shared" ref="K525:N526" si="90">K526</f>
        <v>14.8</v>
      </c>
      <c r="L525" s="275">
        <f t="shared" si="90"/>
        <v>0</v>
      </c>
      <c r="M525" s="275">
        <f t="shared" si="90"/>
        <v>14.8</v>
      </c>
      <c r="N525" s="275">
        <f t="shared" si="90"/>
        <v>14.8</v>
      </c>
    </row>
    <row r="526" spans="1:14" s="152" customFormat="1" ht="18" x14ac:dyDescent="0.35">
      <c r="A526" s="151"/>
      <c r="B526" s="31" t="s">
        <v>542</v>
      </c>
      <c r="C526" s="32" t="s">
        <v>289</v>
      </c>
      <c r="D526" s="17" t="s">
        <v>39</v>
      </c>
      <c r="E526" s="17" t="s">
        <v>73</v>
      </c>
      <c r="F526" s="659" t="s">
        <v>67</v>
      </c>
      <c r="G526" s="660" t="s">
        <v>91</v>
      </c>
      <c r="H526" s="660" t="s">
        <v>65</v>
      </c>
      <c r="I526" s="661" t="s">
        <v>543</v>
      </c>
      <c r="J526" s="17"/>
      <c r="K526" s="275">
        <f t="shared" si="90"/>
        <v>14.8</v>
      </c>
      <c r="L526" s="275">
        <f t="shared" si="90"/>
        <v>0</v>
      </c>
      <c r="M526" s="275">
        <f t="shared" si="90"/>
        <v>14.8</v>
      </c>
      <c r="N526" s="275">
        <f t="shared" si="90"/>
        <v>14.8</v>
      </c>
    </row>
    <row r="527" spans="1:14" s="152" customFormat="1" ht="54" x14ac:dyDescent="0.35">
      <c r="A527" s="151"/>
      <c r="B527" s="313" t="s">
        <v>57</v>
      </c>
      <c r="C527" s="32" t="s">
        <v>289</v>
      </c>
      <c r="D527" s="17" t="s">
        <v>39</v>
      </c>
      <c r="E527" s="17" t="s">
        <v>73</v>
      </c>
      <c r="F527" s="659" t="s">
        <v>67</v>
      </c>
      <c r="G527" s="660" t="s">
        <v>91</v>
      </c>
      <c r="H527" s="660" t="s">
        <v>65</v>
      </c>
      <c r="I527" s="661" t="s">
        <v>543</v>
      </c>
      <c r="J527" s="42" t="s">
        <v>58</v>
      </c>
      <c r="K527" s="275">
        <v>14.8</v>
      </c>
      <c r="L527" s="33">
        <f>M527-K527</f>
        <v>0</v>
      </c>
      <c r="M527" s="275">
        <v>14.8</v>
      </c>
      <c r="N527" s="275">
        <v>14.8</v>
      </c>
    </row>
    <row r="528" spans="1:14" s="152" customFormat="1" ht="36" x14ac:dyDescent="0.35">
      <c r="A528" s="151"/>
      <c r="B528" s="313" t="s">
        <v>554</v>
      </c>
      <c r="C528" s="32" t="s">
        <v>289</v>
      </c>
      <c r="D528" s="17" t="s">
        <v>39</v>
      </c>
      <c r="E528" s="17" t="s">
        <v>73</v>
      </c>
      <c r="F528" s="659" t="s">
        <v>67</v>
      </c>
      <c r="G528" s="660" t="s">
        <v>91</v>
      </c>
      <c r="H528" s="660" t="s">
        <v>54</v>
      </c>
      <c r="I528" s="661" t="s">
        <v>46</v>
      </c>
      <c r="J528" s="27"/>
      <c r="K528" s="275">
        <f t="shared" ref="K528:N529" si="91">K529</f>
        <v>42.5</v>
      </c>
      <c r="L528" s="275">
        <f t="shared" si="91"/>
        <v>0</v>
      </c>
      <c r="M528" s="275">
        <f t="shared" si="91"/>
        <v>42.5</v>
      </c>
      <c r="N528" s="275">
        <f t="shared" si="91"/>
        <v>42.5</v>
      </c>
    </row>
    <row r="529" spans="1:14" s="152" customFormat="1" ht="36" x14ac:dyDescent="0.35">
      <c r="A529" s="151"/>
      <c r="B529" s="284" t="s">
        <v>129</v>
      </c>
      <c r="C529" s="32" t="s">
        <v>289</v>
      </c>
      <c r="D529" s="17" t="s">
        <v>39</v>
      </c>
      <c r="E529" s="17" t="s">
        <v>73</v>
      </c>
      <c r="F529" s="659" t="s">
        <v>67</v>
      </c>
      <c r="G529" s="660" t="s">
        <v>91</v>
      </c>
      <c r="H529" s="660" t="s">
        <v>54</v>
      </c>
      <c r="I529" s="661" t="s">
        <v>92</v>
      </c>
      <c r="J529" s="27"/>
      <c r="K529" s="275">
        <f t="shared" si="91"/>
        <v>42.5</v>
      </c>
      <c r="L529" s="275">
        <f t="shared" si="91"/>
        <v>0</v>
      </c>
      <c r="M529" s="275">
        <f t="shared" si="91"/>
        <v>42.5</v>
      </c>
      <c r="N529" s="275">
        <f t="shared" si="91"/>
        <v>42.5</v>
      </c>
    </row>
    <row r="530" spans="1:14" s="152" customFormat="1" ht="54" x14ac:dyDescent="0.35">
      <c r="A530" s="151"/>
      <c r="B530" s="313" t="s">
        <v>57</v>
      </c>
      <c r="C530" s="32" t="s">
        <v>289</v>
      </c>
      <c r="D530" s="17" t="s">
        <v>39</v>
      </c>
      <c r="E530" s="17" t="s">
        <v>73</v>
      </c>
      <c r="F530" s="659" t="s">
        <v>67</v>
      </c>
      <c r="G530" s="660" t="s">
        <v>91</v>
      </c>
      <c r="H530" s="660" t="s">
        <v>54</v>
      </c>
      <c r="I530" s="661" t="s">
        <v>92</v>
      </c>
      <c r="J530" s="42" t="s">
        <v>58</v>
      </c>
      <c r="K530" s="275">
        <v>42.5</v>
      </c>
      <c r="L530" s="33">
        <f>M530-K530</f>
        <v>0</v>
      </c>
      <c r="M530" s="275">
        <v>42.5</v>
      </c>
      <c r="N530" s="275">
        <v>42.5</v>
      </c>
    </row>
    <row r="531" spans="1:14" s="14" customFormat="1" ht="18" x14ac:dyDescent="0.35">
      <c r="A531" s="151"/>
      <c r="B531" s="31" t="s">
        <v>181</v>
      </c>
      <c r="C531" s="32" t="s">
        <v>289</v>
      </c>
      <c r="D531" s="17" t="s">
        <v>226</v>
      </c>
      <c r="E531" s="17"/>
      <c r="F531" s="659"/>
      <c r="G531" s="660"/>
      <c r="H531" s="660"/>
      <c r="I531" s="661"/>
      <c r="J531" s="17"/>
      <c r="K531" s="33">
        <f>K532+K540</f>
        <v>6805.5</v>
      </c>
      <c r="L531" s="33">
        <f>L532+L540</f>
        <v>0</v>
      </c>
      <c r="M531" s="33">
        <f>M532+M540</f>
        <v>6805.5</v>
      </c>
      <c r="N531" s="33">
        <f>N532+N540</f>
        <v>6810.9999999999991</v>
      </c>
    </row>
    <row r="532" spans="1:14" s="152" customFormat="1" ht="18" x14ac:dyDescent="0.35">
      <c r="A532" s="151"/>
      <c r="B532" s="31" t="s">
        <v>359</v>
      </c>
      <c r="C532" s="32" t="s">
        <v>289</v>
      </c>
      <c r="D532" s="17" t="s">
        <v>226</v>
      </c>
      <c r="E532" s="17" t="s">
        <v>226</v>
      </c>
      <c r="F532" s="659"/>
      <c r="G532" s="660"/>
      <c r="H532" s="660"/>
      <c r="I532" s="661"/>
      <c r="J532" s="17"/>
      <c r="K532" s="33">
        <f>K533</f>
        <v>3771.5999999999995</v>
      </c>
      <c r="L532" s="33">
        <f>L533</f>
        <v>0</v>
      </c>
      <c r="M532" s="33">
        <f>M533</f>
        <v>3771.5999999999995</v>
      </c>
      <c r="N532" s="33">
        <f>N533</f>
        <v>3771.5999999999995</v>
      </c>
    </row>
    <row r="533" spans="1:14" s="152" customFormat="1" ht="54" x14ac:dyDescent="0.35">
      <c r="A533" s="151"/>
      <c r="B533" s="31" t="s">
        <v>223</v>
      </c>
      <c r="C533" s="32" t="s">
        <v>289</v>
      </c>
      <c r="D533" s="17" t="s">
        <v>226</v>
      </c>
      <c r="E533" s="17" t="s">
        <v>226</v>
      </c>
      <c r="F533" s="659" t="s">
        <v>67</v>
      </c>
      <c r="G533" s="660" t="s">
        <v>44</v>
      </c>
      <c r="H533" s="660" t="s">
        <v>45</v>
      </c>
      <c r="I533" s="661" t="s">
        <v>46</v>
      </c>
      <c r="J533" s="17"/>
      <c r="K533" s="33">
        <f t="shared" ref="K533:N535" si="92">K534</f>
        <v>3771.5999999999995</v>
      </c>
      <c r="L533" s="33">
        <f t="shared" si="92"/>
        <v>0</v>
      </c>
      <c r="M533" s="33">
        <f t="shared" si="92"/>
        <v>3771.5999999999995</v>
      </c>
      <c r="N533" s="33">
        <f t="shared" si="92"/>
        <v>3771.5999999999995</v>
      </c>
    </row>
    <row r="534" spans="1:14" s="152" customFormat="1" ht="18" x14ac:dyDescent="0.35">
      <c r="A534" s="151"/>
      <c r="B534" s="31" t="s">
        <v>224</v>
      </c>
      <c r="C534" s="32" t="s">
        <v>289</v>
      </c>
      <c r="D534" s="17" t="s">
        <v>226</v>
      </c>
      <c r="E534" s="17" t="s">
        <v>226</v>
      </c>
      <c r="F534" s="659" t="s">
        <v>67</v>
      </c>
      <c r="G534" s="660" t="s">
        <v>47</v>
      </c>
      <c r="H534" s="660" t="s">
        <v>45</v>
      </c>
      <c r="I534" s="661" t="s">
        <v>46</v>
      </c>
      <c r="J534" s="17"/>
      <c r="K534" s="33">
        <f t="shared" si="92"/>
        <v>3771.5999999999995</v>
      </c>
      <c r="L534" s="33">
        <f t="shared" si="92"/>
        <v>0</v>
      </c>
      <c r="M534" s="33">
        <f t="shared" si="92"/>
        <v>3771.5999999999995</v>
      </c>
      <c r="N534" s="33">
        <f t="shared" si="92"/>
        <v>3771.5999999999995</v>
      </c>
    </row>
    <row r="535" spans="1:14" s="152" customFormat="1" ht="72" customHeight="1" x14ac:dyDescent="0.35">
      <c r="A535" s="151"/>
      <c r="B535" s="31" t="s">
        <v>290</v>
      </c>
      <c r="C535" s="32" t="s">
        <v>289</v>
      </c>
      <c r="D535" s="17" t="s">
        <v>226</v>
      </c>
      <c r="E535" s="17" t="s">
        <v>226</v>
      </c>
      <c r="F535" s="659" t="s">
        <v>67</v>
      </c>
      <c r="G535" s="660" t="s">
        <v>47</v>
      </c>
      <c r="H535" s="660" t="s">
        <v>39</v>
      </c>
      <c r="I535" s="661" t="s">
        <v>46</v>
      </c>
      <c r="J535" s="17"/>
      <c r="K535" s="33">
        <f t="shared" si="92"/>
        <v>3771.5999999999995</v>
      </c>
      <c r="L535" s="33">
        <f t="shared" si="92"/>
        <v>0</v>
      </c>
      <c r="M535" s="33">
        <f t="shared" si="92"/>
        <v>3771.5999999999995</v>
      </c>
      <c r="N535" s="33">
        <f t="shared" si="92"/>
        <v>3771.5999999999995</v>
      </c>
    </row>
    <row r="536" spans="1:14" s="152" customFormat="1" ht="35.4" customHeight="1" x14ac:dyDescent="0.35">
      <c r="A536" s="151"/>
      <c r="B536" s="112" t="s">
        <v>540</v>
      </c>
      <c r="C536" s="32" t="s">
        <v>289</v>
      </c>
      <c r="D536" s="17" t="s">
        <v>226</v>
      </c>
      <c r="E536" s="17" t="s">
        <v>226</v>
      </c>
      <c r="F536" s="659" t="s">
        <v>67</v>
      </c>
      <c r="G536" s="660" t="s">
        <v>47</v>
      </c>
      <c r="H536" s="660" t="s">
        <v>39</v>
      </c>
      <c r="I536" s="661" t="s">
        <v>93</v>
      </c>
      <c r="J536" s="17"/>
      <c r="K536" s="33">
        <f>K537+K538+K539</f>
        <v>3771.5999999999995</v>
      </c>
      <c r="L536" s="33">
        <f>L537+L538+L539</f>
        <v>0</v>
      </c>
      <c r="M536" s="33">
        <f>M537+M538+M539</f>
        <v>3771.5999999999995</v>
      </c>
      <c r="N536" s="33">
        <f>N537+N538+N539</f>
        <v>3771.5999999999995</v>
      </c>
    </row>
    <row r="537" spans="1:14" s="152" customFormat="1" ht="108" x14ac:dyDescent="0.35">
      <c r="A537" s="18"/>
      <c r="B537" s="31" t="s">
        <v>51</v>
      </c>
      <c r="C537" s="32" t="s">
        <v>289</v>
      </c>
      <c r="D537" s="17" t="s">
        <v>226</v>
      </c>
      <c r="E537" s="17" t="s">
        <v>226</v>
      </c>
      <c r="F537" s="659" t="s">
        <v>67</v>
      </c>
      <c r="G537" s="660" t="s">
        <v>47</v>
      </c>
      <c r="H537" s="660" t="s">
        <v>39</v>
      </c>
      <c r="I537" s="661" t="s">
        <v>93</v>
      </c>
      <c r="J537" s="17" t="s">
        <v>52</v>
      </c>
      <c r="K537" s="33">
        <v>3374.2</v>
      </c>
      <c r="L537" s="33">
        <f>M537-K537</f>
        <v>0</v>
      </c>
      <c r="M537" s="33">
        <v>3374.2</v>
      </c>
      <c r="N537" s="33">
        <v>3374.2</v>
      </c>
    </row>
    <row r="538" spans="1:14" s="14" customFormat="1" ht="54" x14ac:dyDescent="0.35">
      <c r="A538" s="18"/>
      <c r="B538" s="31" t="s">
        <v>57</v>
      </c>
      <c r="C538" s="32" t="s">
        <v>289</v>
      </c>
      <c r="D538" s="17" t="s">
        <v>226</v>
      </c>
      <c r="E538" s="17" t="s">
        <v>226</v>
      </c>
      <c r="F538" s="659" t="s">
        <v>67</v>
      </c>
      <c r="G538" s="660" t="s">
        <v>47</v>
      </c>
      <c r="H538" s="660" t="s">
        <v>39</v>
      </c>
      <c r="I538" s="661" t="s">
        <v>93</v>
      </c>
      <c r="J538" s="17" t="s">
        <v>58</v>
      </c>
      <c r="K538" s="33">
        <v>394.7</v>
      </c>
      <c r="L538" s="33">
        <f>M538-K538</f>
        <v>0</v>
      </c>
      <c r="M538" s="33">
        <v>394.7</v>
      </c>
      <c r="N538" s="33">
        <v>394.7</v>
      </c>
    </row>
    <row r="539" spans="1:14" s="14" customFormat="1" ht="18" x14ac:dyDescent="0.35">
      <c r="A539" s="18"/>
      <c r="B539" s="31" t="s">
        <v>59</v>
      </c>
      <c r="C539" s="32" t="s">
        <v>289</v>
      </c>
      <c r="D539" s="17" t="s">
        <v>226</v>
      </c>
      <c r="E539" s="17" t="s">
        <v>226</v>
      </c>
      <c r="F539" s="659" t="s">
        <v>67</v>
      </c>
      <c r="G539" s="660" t="s">
        <v>47</v>
      </c>
      <c r="H539" s="660" t="s">
        <v>39</v>
      </c>
      <c r="I539" s="661" t="s">
        <v>93</v>
      </c>
      <c r="J539" s="17" t="s">
        <v>60</v>
      </c>
      <c r="K539" s="33">
        <v>2.7</v>
      </c>
      <c r="L539" s="33">
        <f>M539-K539</f>
        <v>0</v>
      </c>
      <c r="M539" s="33">
        <v>2.7</v>
      </c>
      <c r="N539" s="33">
        <v>2.7</v>
      </c>
    </row>
    <row r="540" spans="1:14" s="14" customFormat="1" ht="18" x14ac:dyDescent="0.35">
      <c r="A540" s="18"/>
      <c r="B540" s="31" t="s">
        <v>188</v>
      </c>
      <c r="C540" s="190" t="s">
        <v>289</v>
      </c>
      <c r="D540" s="17" t="s">
        <v>226</v>
      </c>
      <c r="E540" s="17" t="s">
        <v>81</v>
      </c>
      <c r="F540" s="659"/>
      <c r="G540" s="660"/>
      <c r="H540" s="660"/>
      <c r="I540" s="661"/>
      <c r="J540" s="17"/>
      <c r="K540" s="33">
        <f t="shared" ref="K540:N543" si="93">K541</f>
        <v>3033.9</v>
      </c>
      <c r="L540" s="33">
        <f t="shared" si="93"/>
        <v>0</v>
      </c>
      <c r="M540" s="33">
        <f t="shared" si="93"/>
        <v>3033.9</v>
      </c>
      <c r="N540" s="33">
        <f t="shared" si="93"/>
        <v>3039.3999999999996</v>
      </c>
    </row>
    <row r="541" spans="1:14" s="14" customFormat="1" ht="54" x14ac:dyDescent="0.35">
      <c r="A541" s="18"/>
      <c r="B541" s="31" t="s">
        <v>223</v>
      </c>
      <c r="C541" s="190" t="s">
        <v>289</v>
      </c>
      <c r="D541" s="17" t="s">
        <v>226</v>
      </c>
      <c r="E541" s="17" t="s">
        <v>81</v>
      </c>
      <c r="F541" s="659" t="s">
        <v>67</v>
      </c>
      <c r="G541" s="660" t="s">
        <v>44</v>
      </c>
      <c r="H541" s="660" t="s">
        <v>45</v>
      </c>
      <c r="I541" s="661" t="s">
        <v>46</v>
      </c>
      <c r="J541" s="17"/>
      <c r="K541" s="33">
        <f t="shared" si="93"/>
        <v>3033.9</v>
      </c>
      <c r="L541" s="33">
        <f t="shared" si="93"/>
        <v>0</v>
      </c>
      <c r="M541" s="33">
        <f t="shared" si="93"/>
        <v>3033.9</v>
      </c>
      <c r="N541" s="33">
        <f t="shared" si="93"/>
        <v>3039.3999999999996</v>
      </c>
    </row>
    <row r="542" spans="1:14" s="14" customFormat="1" ht="36" x14ac:dyDescent="0.35">
      <c r="A542" s="18"/>
      <c r="B542" s="31" t="s">
        <v>222</v>
      </c>
      <c r="C542" s="32" t="s">
        <v>289</v>
      </c>
      <c r="D542" s="17" t="s">
        <v>226</v>
      </c>
      <c r="E542" s="17" t="s">
        <v>81</v>
      </c>
      <c r="F542" s="659" t="s">
        <v>67</v>
      </c>
      <c r="G542" s="660" t="s">
        <v>91</v>
      </c>
      <c r="H542" s="660" t="s">
        <v>45</v>
      </c>
      <c r="I542" s="661" t="s">
        <v>46</v>
      </c>
      <c r="J542" s="17"/>
      <c r="K542" s="33">
        <f t="shared" si="93"/>
        <v>3033.9</v>
      </c>
      <c r="L542" s="33">
        <f t="shared" si="93"/>
        <v>0</v>
      </c>
      <c r="M542" s="33">
        <f t="shared" si="93"/>
        <v>3033.9</v>
      </c>
      <c r="N542" s="33">
        <f t="shared" si="93"/>
        <v>3039.3999999999996</v>
      </c>
    </row>
    <row r="543" spans="1:14" s="152" customFormat="1" ht="36" x14ac:dyDescent="0.35">
      <c r="A543" s="18"/>
      <c r="B543" s="31" t="s">
        <v>284</v>
      </c>
      <c r="C543" s="32" t="s">
        <v>289</v>
      </c>
      <c r="D543" s="17" t="s">
        <v>226</v>
      </c>
      <c r="E543" s="17" t="s">
        <v>81</v>
      </c>
      <c r="F543" s="659" t="s">
        <v>67</v>
      </c>
      <c r="G543" s="660" t="s">
        <v>91</v>
      </c>
      <c r="H543" s="660" t="s">
        <v>39</v>
      </c>
      <c r="I543" s="661" t="s">
        <v>46</v>
      </c>
      <c r="J543" s="17"/>
      <c r="K543" s="33">
        <f t="shared" si="93"/>
        <v>3033.9</v>
      </c>
      <c r="L543" s="33">
        <f t="shared" si="93"/>
        <v>0</v>
      </c>
      <c r="M543" s="33">
        <f t="shared" si="93"/>
        <v>3033.9</v>
      </c>
      <c r="N543" s="33">
        <f t="shared" si="93"/>
        <v>3039.3999999999996</v>
      </c>
    </row>
    <row r="544" spans="1:14" s="14" customFormat="1" ht="36" x14ac:dyDescent="0.35">
      <c r="A544" s="18"/>
      <c r="B544" s="31" t="s">
        <v>49</v>
      </c>
      <c r="C544" s="32" t="s">
        <v>289</v>
      </c>
      <c r="D544" s="17" t="s">
        <v>226</v>
      </c>
      <c r="E544" s="17" t="s">
        <v>81</v>
      </c>
      <c r="F544" s="659" t="s">
        <v>67</v>
      </c>
      <c r="G544" s="660" t="s">
        <v>91</v>
      </c>
      <c r="H544" s="660" t="s">
        <v>39</v>
      </c>
      <c r="I544" s="661" t="s">
        <v>50</v>
      </c>
      <c r="J544" s="17"/>
      <c r="K544" s="33">
        <f>K545+K546+K547</f>
        <v>3033.9</v>
      </c>
      <c r="L544" s="33">
        <f>L545+L546+L547</f>
        <v>0</v>
      </c>
      <c r="M544" s="33">
        <f>M545+M546+M547</f>
        <v>3033.9</v>
      </c>
      <c r="N544" s="33">
        <f>N545+N546+N547</f>
        <v>3039.3999999999996</v>
      </c>
    </row>
    <row r="545" spans="1:14" s="14" customFormat="1" ht="108" x14ac:dyDescent="0.35">
      <c r="A545" s="18"/>
      <c r="B545" s="31" t="s">
        <v>51</v>
      </c>
      <c r="C545" s="32" t="s">
        <v>289</v>
      </c>
      <c r="D545" s="17" t="s">
        <v>226</v>
      </c>
      <c r="E545" s="17" t="s">
        <v>81</v>
      </c>
      <c r="F545" s="659" t="s">
        <v>67</v>
      </c>
      <c r="G545" s="660" t="s">
        <v>91</v>
      </c>
      <c r="H545" s="660" t="s">
        <v>39</v>
      </c>
      <c r="I545" s="661" t="s">
        <v>50</v>
      </c>
      <c r="J545" s="17" t="s">
        <v>52</v>
      </c>
      <c r="K545" s="33">
        <v>2735.5</v>
      </c>
      <c r="L545" s="33">
        <f>M545-K545</f>
        <v>0</v>
      </c>
      <c r="M545" s="33">
        <v>2735.5</v>
      </c>
      <c r="N545" s="33">
        <v>2735.5</v>
      </c>
    </row>
    <row r="546" spans="1:14" s="14" customFormat="1" ht="54" x14ac:dyDescent="0.35">
      <c r="A546" s="18"/>
      <c r="B546" s="31" t="s">
        <v>57</v>
      </c>
      <c r="C546" s="190" t="s">
        <v>289</v>
      </c>
      <c r="D546" s="126" t="s">
        <v>226</v>
      </c>
      <c r="E546" s="126" t="s">
        <v>81</v>
      </c>
      <c r="F546" s="659" t="s">
        <v>67</v>
      </c>
      <c r="G546" s="660" t="s">
        <v>91</v>
      </c>
      <c r="H546" s="660" t="s">
        <v>39</v>
      </c>
      <c r="I546" s="661" t="s">
        <v>50</v>
      </c>
      <c r="J546" s="17" t="s">
        <v>58</v>
      </c>
      <c r="K546" s="33">
        <v>297.10000000000002</v>
      </c>
      <c r="L546" s="33">
        <f>M546-K546</f>
        <v>0</v>
      </c>
      <c r="M546" s="33">
        <v>297.10000000000002</v>
      </c>
      <c r="N546" s="33">
        <v>302.7</v>
      </c>
    </row>
    <row r="547" spans="1:14" s="14" customFormat="1" ht="18" x14ac:dyDescent="0.35">
      <c r="A547" s="18"/>
      <c r="B547" s="31" t="s">
        <v>59</v>
      </c>
      <c r="C547" s="190" t="s">
        <v>289</v>
      </c>
      <c r="D547" s="126" t="s">
        <v>226</v>
      </c>
      <c r="E547" s="126" t="s">
        <v>81</v>
      </c>
      <c r="F547" s="659" t="s">
        <v>67</v>
      </c>
      <c r="G547" s="660" t="s">
        <v>91</v>
      </c>
      <c r="H547" s="660" t="s">
        <v>39</v>
      </c>
      <c r="I547" s="661" t="s">
        <v>50</v>
      </c>
      <c r="J547" s="17" t="s">
        <v>60</v>
      </c>
      <c r="K547" s="33">
        <v>1.3</v>
      </c>
      <c r="L547" s="33">
        <f>M547-K547</f>
        <v>0</v>
      </c>
      <c r="M547" s="33">
        <v>1.3</v>
      </c>
      <c r="N547" s="33">
        <v>1.2</v>
      </c>
    </row>
    <row r="548" spans="1:14" s="14" customFormat="1" ht="18" x14ac:dyDescent="0.35">
      <c r="A548" s="18"/>
      <c r="B548" s="31"/>
      <c r="C548" s="190"/>
      <c r="D548" s="126"/>
      <c r="E548" s="126"/>
      <c r="F548" s="659"/>
      <c r="G548" s="660"/>
      <c r="H548" s="660"/>
      <c r="I548" s="661"/>
      <c r="J548" s="17"/>
      <c r="K548" s="33"/>
      <c r="L548" s="33"/>
      <c r="M548" s="33"/>
      <c r="N548" s="33"/>
    </row>
    <row r="549" spans="1:14" s="152" customFormat="1" ht="52.2" x14ac:dyDescent="0.3">
      <c r="A549" s="151">
        <v>9</v>
      </c>
      <c r="B549" s="25" t="s">
        <v>12</v>
      </c>
      <c r="C549" s="26" t="s">
        <v>297</v>
      </c>
      <c r="D549" s="27"/>
      <c r="E549" s="27"/>
      <c r="F549" s="28"/>
      <c r="G549" s="29"/>
      <c r="H549" s="29"/>
      <c r="I549" s="30"/>
      <c r="J549" s="27"/>
      <c r="K549" s="47">
        <f>K550</f>
        <v>75498.499999999985</v>
      </c>
      <c r="L549" s="47">
        <f>L550</f>
        <v>732.19999999999982</v>
      </c>
      <c r="M549" s="47">
        <f>M550</f>
        <v>76230.699999999983</v>
      </c>
      <c r="N549" s="47">
        <f>N550</f>
        <v>77761</v>
      </c>
    </row>
    <row r="550" spans="1:14" s="14" customFormat="1" ht="18" x14ac:dyDescent="0.35">
      <c r="A550" s="18"/>
      <c r="B550" s="37" t="s">
        <v>121</v>
      </c>
      <c r="C550" s="32" t="s">
        <v>297</v>
      </c>
      <c r="D550" s="17" t="s">
        <v>106</v>
      </c>
      <c r="E550" s="17"/>
      <c r="F550" s="659"/>
      <c r="G550" s="660"/>
      <c r="H550" s="660"/>
      <c r="I550" s="661"/>
      <c r="J550" s="17"/>
      <c r="K550" s="33">
        <f>K551+K567</f>
        <v>75498.499999999985</v>
      </c>
      <c r="L550" s="33">
        <f>L551+L567</f>
        <v>732.19999999999982</v>
      </c>
      <c r="M550" s="33">
        <f>M551+M567</f>
        <v>76230.699999999983</v>
      </c>
      <c r="N550" s="33">
        <f>N551+N567</f>
        <v>77761</v>
      </c>
    </row>
    <row r="551" spans="1:14" s="14" customFormat="1" ht="18" x14ac:dyDescent="0.35">
      <c r="A551" s="18"/>
      <c r="B551" s="31" t="s">
        <v>195</v>
      </c>
      <c r="C551" s="32" t="s">
        <v>297</v>
      </c>
      <c r="D551" s="17" t="s">
        <v>106</v>
      </c>
      <c r="E551" s="17" t="s">
        <v>54</v>
      </c>
      <c r="F551" s="659"/>
      <c r="G551" s="660"/>
      <c r="H551" s="660"/>
      <c r="I551" s="661"/>
      <c r="J551" s="17"/>
      <c r="K551" s="33">
        <f t="shared" ref="K551:N553" si="94">K552</f>
        <v>67603.499999999985</v>
      </c>
      <c r="L551" s="33">
        <f t="shared" si="94"/>
        <v>0</v>
      </c>
      <c r="M551" s="33">
        <f t="shared" si="94"/>
        <v>67603.499999999985</v>
      </c>
      <c r="N551" s="33">
        <f t="shared" si="94"/>
        <v>69133.8</v>
      </c>
    </row>
    <row r="552" spans="1:14" s="14" customFormat="1" ht="54" x14ac:dyDescent="0.35">
      <c r="A552" s="18"/>
      <c r="B552" s="35" t="s">
        <v>232</v>
      </c>
      <c r="C552" s="32" t="s">
        <v>297</v>
      </c>
      <c r="D552" s="17" t="s">
        <v>106</v>
      </c>
      <c r="E552" s="17" t="s">
        <v>54</v>
      </c>
      <c r="F552" s="659" t="s">
        <v>81</v>
      </c>
      <c r="G552" s="660" t="s">
        <v>44</v>
      </c>
      <c r="H552" s="660" t="s">
        <v>45</v>
      </c>
      <c r="I552" s="661" t="s">
        <v>46</v>
      </c>
      <c r="J552" s="17"/>
      <c r="K552" s="33">
        <f t="shared" si="94"/>
        <v>67603.499999999985</v>
      </c>
      <c r="L552" s="33">
        <f t="shared" si="94"/>
        <v>0</v>
      </c>
      <c r="M552" s="33">
        <f t="shared" si="94"/>
        <v>67603.499999999985</v>
      </c>
      <c r="N552" s="33">
        <f t="shared" si="94"/>
        <v>69133.8</v>
      </c>
    </row>
    <row r="553" spans="1:14" s="14" customFormat="1" ht="36" x14ac:dyDescent="0.35">
      <c r="A553" s="18"/>
      <c r="B553" s="31" t="s">
        <v>345</v>
      </c>
      <c r="C553" s="32" t="s">
        <v>297</v>
      </c>
      <c r="D553" s="17" t="s">
        <v>106</v>
      </c>
      <c r="E553" s="17" t="s">
        <v>54</v>
      </c>
      <c r="F553" s="659" t="s">
        <v>81</v>
      </c>
      <c r="G553" s="660" t="s">
        <v>47</v>
      </c>
      <c r="H553" s="660" t="s">
        <v>45</v>
      </c>
      <c r="I553" s="661" t="s">
        <v>46</v>
      </c>
      <c r="J553" s="17"/>
      <c r="K553" s="33">
        <f t="shared" si="94"/>
        <v>67603.499999999985</v>
      </c>
      <c r="L553" s="33">
        <f t="shared" si="94"/>
        <v>0</v>
      </c>
      <c r="M553" s="33">
        <f t="shared" si="94"/>
        <v>67603.499999999985</v>
      </c>
      <c r="N553" s="33">
        <f t="shared" si="94"/>
        <v>69133.8</v>
      </c>
    </row>
    <row r="554" spans="1:14" s="152" customFormat="1" ht="36" x14ac:dyDescent="0.35">
      <c r="A554" s="18"/>
      <c r="B554" s="31" t="s">
        <v>287</v>
      </c>
      <c r="C554" s="32" t="s">
        <v>297</v>
      </c>
      <c r="D554" s="17" t="s">
        <v>106</v>
      </c>
      <c r="E554" s="17" t="s">
        <v>54</v>
      </c>
      <c r="F554" s="659" t="s">
        <v>81</v>
      </c>
      <c r="G554" s="660" t="s">
        <v>47</v>
      </c>
      <c r="H554" s="660" t="s">
        <v>39</v>
      </c>
      <c r="I554" s="661" t="s">
        <v>46</v>
      </c>
      <c r="J554" s="17"/>
      <c r="K554" s="33">
        <f>K555+K558+K561+K564</f>
        <v>67603.499999999985</v>
      </c>
      <c r="L554" s="33">
        <f>L555+L558+L561+L564</f>
        <v>0</v>
      </c>
      <c r="M554" s="33">
        <f>M555+M558+M561+M564</f>
        <v>67603.499999999985</v>
      </c>
      <c r="N554" s="33">
        <f>N555+N558+N561+N564</f>
        <v>69133.8</v>
      </c>
    </row>
    <row r="555" spans="1:14" s="152" customFormat="1" ht="142.80000000000001" customHeight="1" x14ac:dyDescent="0.35">
      <c r="A555" s="18"/>
      <c r="B555" s="614" t="s">
        <v>366</v>
      </c>
      <c r="C555" s="32" t="s">
        <v>297</v>
      </c>
      <c r="D555" s="17" t="s">
        <v>106</v>
      </c>
      <c r="E555" s="17" t="s">
        <v>54</v>
      </c>
      <c r="F555" s="659" t="s">
        <v>81</v>
      </c>
      <c r="G555" s="660" t="s">
        <v>47</v>
      </c>
      <c r="H555" s="660" t="s">
        <v>39</v>
      </c>
      <c r="I555" s="661" t="s">
        <v>714</v>
      </c>
      <c r="J555" s="17"/>
      <c r="K555" s="33">
        <f>SUM(K556:K557)</f>
        <v>36785</v>
      </c>
      <c r="L555" s="33">
        <f>SUM(L556:L557)</f>
        <v>0</v>
      </c>
      <c r="M555" s="33">
        <f>SUM(M556:M557)</f>
        <v>36785</v>
      </c>
      <c r="N555" s="33">
        <f>SUM(N556:N557)</f>
        <v>38255.5</v>
      </c>
    </row>
    <row r="556" spans="1:14" s="152" customFormat="1" ht="54" x14ac:dyDescent="0.35">
      <c r="A556" s="18"/>
      <c r="B556" s="31" t="s">
        <v>57</v>
      </c>
      <c r="C556" s="32" t="s">
        <v>297</v>
      </c>
      <c r="D556" s="17" t="s">
        <v>106</v>
      </c>
      <c r="E556" s="17" t="s">
        <v>54</v>
      </c>
      <c r="F556" s="659" t="s">
        <v>81</v>
      </c>
      <c r="G556" s="660" t="s">
        <v>47</v>
      </c>
      <c r="H556" s="660" t="s">
        <v>39</v>
      </c>
      <c r="I556" s="661" t="s">
        <v>714</v>
      </c>
      <c r="J556" s="17" t="s">
        <v>58</v>
      </c>
      <c r="K556" s="33">
        <v>184</v>
      </c>
      <c r="L556" s="33">
        <f>M556-K556</f>
        <v>0</v>
      </c>
      <c r="M556" s="33">
        <v>184</v>
      </c>
      <c r="N556" s="33">
        <v>191.3</v>
      </c>
    </row>
    <row r="557" spans="1:14" s="152" customFormat="1" ht="36" x14ac:dyDescent="0.35">
      <c r="A557" s="18"/>
      <c r="B557" s="31" t="s">
        <v>122</v>
      </c>
      <c r="C557" s="32" t="s">
        <v>297</v>
      </c>
      <c r="D557" s="17" t="s">
        <v>106</v>
      </c>
      <c r="E557" s="17" t="s">
        <v>54</v>
      </c>
      <c r="F557" s="659" t="s">
        <v>81</v>
      </c>
      <c r="G557" s="660" t="s">
        <v>47</v>
      </c>
      <c r="H557" s="660" t="s">
        <v>39</v>
      </c>
      <c r="I557" s="661" t="s">
        <v>714</v>
      </c>
      <c r="J557" s="17" t="s">
        <v>123</v>
      </c>
      <c r="K557" s="33">
        <v>36601</v>
      </c>
      <c r="L557" s="33">
        <f>M557-K557</f>
        <v>0</v>
      </c>
      <c r="M557" s="33">
        <v>36601</v>
      </c>
      <c r="N557" s="33">
        <v>38064.199999999997</v>
      </c>
    </row>
    <row r="558" spans="1:14" s="152" customFormat="1" ht="93.75" customHeight="1" x14ac:dyDescent="0.35">
      <c r="A558" s="18"/>
      <c r="B558" s="31" t="s">
        <v>368</v>
      </c>
      <c r="C558" s="32" t="s">
        <v>297</v>
      </c>
      <c r="D558" s="17" t="s">
        <v>106</v>
      </c>
      <c r="E558" s="17" t="s">
        <v>54</v>
      </c>
      <c r="F558" s="659" t="s">
        <v>81</v>
      </c>
      <c r="G558" s="660" t="s">
        <v>47</v>
      </c>
      <c r="H558" s="660" t="s">
        <v>39</v>
      </c>
      <c r="I558" s="661" t="s">
        <v>716</v>
      </c>
      <c r="J558" s="17"/>
      <c r="K558" s="33">
        <f>SUM(K559:K560)</f>
        <v>1495.2</v>
      </c>
      <c r="L558" s="33">
        <f>SUM(L559:L560)</f>
        <v>0</v>
      </c>
      <c r="M558" s="33">
        <f>SUM(M559:M560)</f>
        <v>1495.2</v>
      </c>
      <c r="N558" s="33">
        <f>SUM(N559:N560)</f>
        <v>1555</v>
      </c>
    </row>
    <row r="559" spans="1:14" s="152" customFormat="1" ht="54" x14ac:dyDescent="0.35">
      <c r="A559" s="18"/>
      <c r="B559" s="31" t="s">
        <v>57</v>
      </c>
      <c r="C559" s="32" t="s">
        <v>297</v>
      </c>
      <c r="D559" s="17" t="s">
        <v>106</v>
      </c>
      <c r="E559" s="17" t="s">
        <v>54</v>
      </c>
      <c r="F559" s="659" t="s">
        <v>81</v>
      </c>
      <c r="G559" s="660" t="s">
        <v>47</v>
      </c>
      <c r="H559" s="660" t="s">
        <v>39</v>
      </c>
      <c r="I559" s="661" t="s">
        <v>716</v>
      </c>
      <c r="J559" s="17" t="s">
        <v>58</v>
      </c>
      <c r="K559" s="33">
        <v>7.5</v>
      </c>
      <c r="L559" s="33">
        <f>M559-K559</f>
        <v>0</v>
      </c>
      <c r="M559" s="33">
        <v>7.5</v>
      </c>
      <c r="N559" s="33">
        <v>7.8</v>
      </c>
    </row>
    <row r="560" spans="1:14" s="152" customFormat="1" ht="36" x14ac:dyDescent="0.35">
      <c r="A560" s="18"/>
      <c r="B560" s="31" t="s">
        <v>122</v>
      </c>
      <c r="C560" s="32" t="s">
        <v>297</v>
      </c>
      <c r="D560" s="17" t="s">
        <v>106</v>
      </c>
      <c r="E560" s="17" t="s">
        <v>54</v>
      </c>
      <c r="F560" s="659" t="s">
        <v>81</v>
      </c>
      <c r="G560" s="660" t="s">
        <v>47</v>
      </c>
      <c r="H560" s="660" t="s">
        <v>39</v>
      </c>
      <c r="I560" s="661" t="s">
        <v>716</v>
      </c>
      <c r="J560" s="17" t="s">
        <v>123</v>
      </c>
      <c r="K560" s="33">
        <v>1487.7</v>
      </c>
      <c r="L560" s="33">
        <f>M560-K560</f>
        <v>0</v>
      </c>
      <c r="M560" s="33">
        <v>1487.7</v>
      </c>
      <c r="N560" s="33">
        <v>1547.2</v>
      </c>
    </row>
    <row r="561" spans="1:14" s="152" customFormat="1" ht="88.2" customHeight="1" x14ac:dyDescent="0.35">
      <c r="A561" s="18"/>
      <c r="B561" s="31" t="s">
        <v>367</v>
      </c>
      <c r="C561" s="32" t="s">
        <v>297</v>
      </c>
      <c r="D561" s="17" t="s">
        <v>106</v>
      </c>
      <c r="E561" s="17" t="s">
        <v>54</v>
      </c>
      <c r="F561" s="659" t="s">
        <v>81</v>
      </c>
      <c r="G561" s="660" t="s">
        <v>47</v>
      </c>
      <c r="H561" s="660" t="s">
        <v>39</v>
      </c>
      <c r="I561" s="661" t="s">
        <v>715</v>
      </c>
      <c r="J561" s="17"/>
      <c r="K561" s="33">
        <f>SUM(K562:K563)</f>
        <v>27520.6</v>
      </c>
      <c r="L561" s="33">
        <f>SUM(L562:L563)</f>
        <v>0</v>
      </c>
      <c r="M561" s="33">
        <f>SUM(M562:M563)</f>
        <v>27520.6</v>
      </c>
      <c r="N561" s="33">
        <f>SUM(N562:N563)</f>
        <v>27520.6</v>
      </c>
    </row>
    <row r="562" spans="1:14" s="152" customFormat="1" ht="54" x14ac:dyDescent="0.35">
      <c r="A562" s="18"/>
      <c r="B562" s="31" t="s">
        <v>57</v>
      </c>
      <c r="C562" s="32" t="s">
        <v>297</v>
      </c>
      <c r="D562" s="17" t="s">
        <v>106</v>
      </c>
      <c r="E562" s="17" t="s">
        <v>54</v>
      </c>
      <c r="F562" s="659" t="s">
        <v>81</v>
      </c>
      <c r="G562" s="660" t="s">
        <v>47</v>
      </c>
      <c r="H562" s="660" t="s">
        <v>39</v>
      </c>
      <c r="I562" s="661" t="s">
        <v>715</v>
      </c>
      <c r="J562" s="17" t="s">
        <v>58</v>
      </c>
      <c r="K562" s="33">
        <v>137.6</v>
      </c>
      <c r="L562" s="33">
        <f>M562-K562</f>
        <v>0</v>
      </c>
      <c r="M562" s="33">
        <v>137.6</v>
      </c>
      <c r="N562" s="33">
        <v>137.6</v>
      </c>
    </row>
    <row r="563" spans="1:14" s="152" customFormat="1" ht="36" x14ac:dyDescent="0.35">
      <c r="A563" s="18"/>
      <c r="B563" s="31" t="s">
        <v>122</v>
      </c>
      <c r="C563" s="32" t="s">
        <v>297</v>
      </c>
      <c r="D563" s="17" t="s">
        <v>106</v>
      </c>
      <c r="E563" s="17" t="s">
        <v>54</v>
      </c>
      <c r="F563" s="659" t="s">
        <v>81</v>
      </c>
      <c r="G563" s="660" t="s">
        <v>47</v>
      </c>
      <c r="H563" s="660" t="s">
        <v>39</v>
      </c>
      <c r="I563" s="661" t="s">
        <v>715</v>
      </c>
      <c r="J563" s="17" t="s">
        <v>123</v>
      </c>
      <c r="K563" s="33">
        <v>27383</v>
      </c>
      <c r="L563" s="33">
        <f>M563-K563</f>
        <v>0</v>
      </c>
      <c r="M563" s="33">
        <v>27383</v>
      </c>
      <c r="N563" s="33">
        <v>27383</v>
      </c>
    </row>
    <row r="564" spans="1:14" s="152" customFormat="1" ht="106.2" customHeight="1" x14ac:dyDescent="0.35">
      <c r="A564" s="18"/>
      <c r="B564" s="31" t="s">
        <v>374</v>
      </c>
      <c r="C564" s="32" t="s">
        <v>297</v>
      </c>
      <c r="D564" s="17" t="s">
        <v>106</v>
      </c>
      <c r="E564" s="17" t="s">
        <v>54</v>
      </c>
      <c r="F564" s="659" t="s">
        <v>81</v>
      </c>
      <c r="G564" s="660" t="s">
        <v>47</v>
      </c>
      <c r="H564" s="660" t="s">
        <v>39</v>
      </c>
      <c r="I564" s="661" t="s">
        <v>717</v>
      </c>
      <c r="J564" s="17"/>
      <c r="K564" s="33">
        <f>SUM(K565:K566)</f>
        <v>1802.7</v>
      </c>
      <c r="L564" s="33">
        <f>SUM(L565:L566)</f>
        <v>0</v>
      </c>
      <c r="M564" s="33">
        <f>SUM(M565:M566)</f>
        <v>1802.7</v>
      </c>
      <c r="N564" s="33">
        <f>SUM(N565:N566)</f>
        <v>1802.7</v>
      </c>
    </row>
    <row r="565" spans="1:14" s="152" customFormat="1" ht="54" x14ac:dyDescent="0.35">
      <c r="A565" s="18"/>
      <c r="B565" s="31" t="s">
        <v>57</v>
      </c>
      <c r="C565" s="32" t="s">
        <v>297</v>
      </c>
      <c r="D565" s="17" t="s">
        <v>106</v>
      </c>
      <c r="E565" s="17" t="s">
        <v>54</v>
      </c>
      <c r="F565" s="659" t="s">
        <v>81</v>
      </c>
      <c r="G565" s="660" t="s">
        <v>47</v>
      </c>
      <c r="H565" s="660" t="s">
        <v>39</v>
      </c>
      <c r="I565" s="661" t="s">
        <v>717</v>
      </c>
      <c r="J565" s="17" t="s">
        <v>58</v>
      </c>
      <c r="K565" s="33">
        <v>9</v>
      </c>
      <c r="L565" s="33">
        <f>M565-K565</f>
        <v>0</v>
      </c>
      <c r="M565" s="33">
        <v>9</v>
      </c>
      <c r="N565" s="33">
        <v>9</v>
      </c>
    </row>
    <row r="566" spans="1:14" s="152" customFormat="1" ht="36" x14ac:dyDescent="0.35">
      <c r="A566" s="18"/>
      <c r="B566" s="31" t="s">
        <v>122</v>
      </c>
      <c r="C566" s="32" t="s">
        <v>297</v>
      </c>
      <c r="D566" s="17" t="s">
        <v>106</v>
      </c>
      <c r="E566" s="17" t="s">
        <v>54</v>
      </c>
      <c r="F566" s="659" t="s">
        <v>81</v>
      </c>
      <c r="G566" s="660" t="s">
        <v>47</v>
      </c>
      <c r="H566" s="660" t="s">
        <v>39</v>
      </c>
      <c r="I566" s="661" t="s">
        <v>717</v>
      </c>
      <c r="J566" s="17" t="s">
        <v>123</v>
      </c>
      <c r="K566" s="33">
        <v>1793.7</v>
      </c>
      <c r="L566" s="33">
        <f>M566-K566</f>
        <v>0</v>
      </c>
      <c r="M566" s="33">
        <v>1793.7</v>
      </c>
      <c r="N566" s="33">
        <v>1793.7</v>
      </c>
    </row>
    <row r="567" spans="1:14" s="14" customFormat="1" ht="36" x14ac:dyDescent="0.35">
      <c r="A567" s="18"/>
      <c r="B567" s="31" t="s">
        <v>299</v>
      </c>
      <c r="C567" s="32" t="s">
        <v>297</v>
      </c>
      <c r="D567" s="17" t="s">
        <v>106</v>
      </c>
      <c r="E567" s="17" t="s">
        <v>83</v>
      </c>
      <c r="F567" s="659"/>
      <c r="G567" s="660"/>
      <c r="H567" s="660"/>
      <c r="I567" s="661"/>
      <c r="J567" s="17"/>
      <c r="K567" s="33">
        <f t="shared" ref="K567:N569" si="95">K568</f>
        <v>7895</v>
      </c>
      <c r="L567" s="33">
        <f t="shared" si="95"/>
        <v>732.19999999999982</v>
      </c>
      <c r="M567" s="33">
        <f t="shared" si="95"/>
        <v>8627.2000000000007</v>
      </c>
      <c r="N567" s="33">
        <f t="shared" si="95"/>
        <v>8627.2000000000007</v>
      </c>
    </row>
    <row r="568" spans="1:14" s="14" customFormat="1" ht="54" x14ac:dyDescent="0.35">
      <c r="A568" s="18"/>
      <c r="B568" s="35" t="s">
        <v>232</v>
      </c>
      <c r="C568" s="32" t="s">
        <v>297</v>
      </c>
      <c r="D568" s="17" t="s">
        <v>106</v>
      </c>
      <c r="E568" s="17" t="s">
        <v>83</v>
      </c>
      <c r="F568" s="659" t="s">
        <v>81</v>
      </c>
      <c r="G568" s="660" t="s">
        <v>44</v>
      </c>
      <c r="H568" s="660" t="s">
        <v>45</v>
      </c>
      <c r="I568" s="661" t="s">
        <v>46</v>
      </c>
      <c r="J568" s="17"/>
      <c r="K568" s="33">
        <f t="shared" si="95"/>
        <v>7895</v>
      </c>
      <c r="L568" s="33">
        <f t="shared" si="95"/>
        <v>732.19999999999982</v>
      </c>
      <c r="M568" s="33">
        <f t="shared" si="95"/>
        <v>8627.2000000000007</v>
      </c>
      <c r="N568" s="33">
        <f t="shared" si="95"/>
        <v>8627.2000000000007</v>
      </c>
    </row>
    <row r="569" spans="1:14" s="14" customFormat="1" ht="36" x14ac:dyDescent="0.35">
      <c r="A569" s="18"/>
      <c r="B569" s="31" t="s">
        <v>345</v>
      </c>
      <c r="C569" s="32" t="s">
        <v>297</v>
      </c>
      <c r="D569" s="17" t="s">
        <v>106</v>
      </c>
      <c r="E569" s="17" t="s">
        <v>83</v>
      </c>
      <c r="F569" s="659" t="s">
        <v>81</v>
      </c>
      <c r="G569" s="660" t="s">
        <v>47</v>
      </c>
      <c r="H569" s="660" t="s">
        <v>45</v>
      </c>
      <c r="I569" s="661" t="s">
        <v>46</v>
      </c>
      <c r="J569" s="17"/>
      <c r="K569" s="33">
        <f t="shared" si="95"/>
        <v>7895</v>
      </c>
      <c r="L569" s="33">
        <f t="shared" si="95"/>
        <v>732.19999999999982</v>
      </c>
      <c r="M569" s="33">
        <f t="shared" si="95"/>
        <v>8627.2000000000007</v>
      </c>
      <c r="N569" s="33">
        <f t="shared" si="95"/>
        <v>8627.2000000000007</v>
      </c>
    </row>
    <row r="570" spans="1:14" s="152" customFormat="1" ht="36" x14ac:dyDescent="0.35">
      <c r="A570" s="18"/>
      <c r="B570" s="31" t="s">
        <v>231</v>
      </c>
      <c r="C570" s="32" t="s">
        <v>297</v>
      </c>
      <c r="D570" s="17" t="s">
        <v>106</v>
      </c>
      <c r="E570" s="17" t="s">
        <v>83</v>
      </c>
      <c r="F570" s="659" t="s">
        <v>81</v>
      </c>
      <c r="G570" s="660" t="s">
        <v>47</v>
      </c>
      <c r="H570" s="660" t="s">
        <v>65</v>
      </c>
      <c r="I570" s="661" t="s">
        <v>46</v>
      </c>
      <c r="J570" s="17"/>
      <c r="K570" s="33">
        <f>K571+K574+K577</f>
        <v>7895</v>
      </c>
      <c r="L570" s="33">
        <f>L571+L574+L577</f>
        <v>732.19999999999982</v>
      </c>
      <c r="M570" s="33">
        <f>M571+M574+M577</f>
        <v>8627.2000000000007</v>
      </c>
      <c r="N570" s="33">
        <f>N571+N574+N577</f>
        <v>8627.2000000000007</v>
      </c>
    </row>
    <row r="571" spans="1:14" s="152" customFormat="1" ht="255" customHeight="1" x14ac:dyDescent="0.35">
      <c r="A571" s="18"/>
      <c r="B571" s="119" t="s">
        <v>234</v>
      </c>
      <c r="C571" s="32" t="s">
        <v>297</v>
      </c>
      <c r="D571" s="17" t="s">
        <v>106</v>
      </c>
      <c r="E571" s="17" t="s">
        <v>83</v>
      </c>
      <c r="F571" s="659" t="s">
        <v>81</v>
      </c>
      <c r="G571" s="660" t="s">
        <v>47</v>
      </c>
      <c r="H571" s="660" t="s">
        <v>65</v>
      </c>
      <c r="I571" s="661" t="s">
        <v>718</v>
      </c>
      <c r="J571" s="17"/>
      <c r="K571" s="33">
        <f>K572+K573</f>
        <v>905.8</v>
      </c>
      <c r="L571" s="33">
        <f>L572+L573</f>
        <v>78.600000000000023</v>
      </c>
      <c r="M571" s="33">
        <f>M572+M573</f>
        <v>984.4</v>
      </c>
      <c r="N571" s="33">
        <f>N572+N573</f>
        <v>984.4</v>
      </c>
    </row>
    <row r="572" spans="1:14" s="152" customFormat="1" ht="111.6" customHeight="1" x14ac:dyDescent="0.35">
      <c r="A572" s="18"/>
      <c r="B572" s="31" t="s">
        <v>51</v>
      </c>
      <c r="C572" s="32" t="s">
        <v>297</v>
      </c>
      <c r="D572" s="17" t="s">
        <v>106</v>
      </c>
      <c r="E572" s="17" t="s">
        <v>83</v>
      </c>
      <c r="F572" s="659" t="s">
        <v>81</v>
      </c>
      <c r="G572" s="660" t="s">
        <v>47</v>
      </c>
      <c r="H572" s="660" t="s">
        <v>65</v>
      </c>
      <c r="I572" s="661" t="s">
        <v>718</v>
      </c>
      <c r="J572" s="17" t="s">
        <v>52</v>
      </c>
      <c r="K572" s="33">
        <v>845.8</v>
      </c>
      <c r="L572" s="33">
        <f>M572-K572</f>
        <v>78.600000000000023</v>
      </c>
      <c r="M572" s="33">
        <f>845.8+78.6</f>
        <v>924.4</v>
      </c>
      <c r="N572" s="33">
        <f>845.8+78.6</f>
        <v>924.4</v>
      </c>
    </row>
    <row r="573" spans="1:14" s="152" customFormat="1" ht="54" x14ac:dyDescent="0.35">
      <c r="A573" s="18"/>
      <c r="B573" s="31" t="s">
        <v>57</v>
      </c>
      <c r="C573" s="32" t="s">
        <v>297</v>
      </c>
      <c r="D573" s="17" t="s">
        <v>106</v>
      </c>
      <c r="E573" s="17" t="s">
        <v>83</v>
      </c>
      <c r="F573" s="659" t="s">
        <v>81</v>
      </c>
      <c r="G573" s="660" t="s">
        <v>47</v>
      </c>
      <c r="H573" s="660" t="s">
        <v>65</v>
      </c>
      <c r="I573" s="661" t="s">
        <v>718</v>
      </c>
      <c r="J573" s="17" t="s">
        <v>58</v>
      </c>
      <c r="K573" s="33">
        <v>60</v>
      </c>
      <c r="L573" s="33">
        <f>M573-K573</f>
        <v>0</v>
      </c>
      <c r="M573" s="33">
        <v>60</v>
      </c>
      <c r="N573" s="33">
        <v>60</v>
      </c>
    </row>
    <row r="574" spans="1:14" s="152" customFormat="1" ht="111" customHeight="1" x14ac:dyDescent="0.35">
      <c r="A574" s="18"/>
      <c r="B574" s="31" t="s">
        <v>535</v>
      </c>
      <c r="C574" s="32" t="s">
        <v>297</v>
      </c>
      <c r="D574" s="17" t="s">
        <v>106</v>
      </c>
      <c r="E574" s="17" t="s">
        <v>83</v>
      </c>
      <c r="F574" s="659" t="s">
        <v>81</v>
      </c>
      <c r="G574" s="660" t="s">
        <v>47</v>
      </c>
      <c r="H574" s="660" t="s">
        <v>65</v>
      </c>
      <c r="I574" s="661" t="s">
        <v>712</v>
      </c>
      <c r="J574" s="17"/>
      <c r="K574" s="33">
        <f>K575+K576</f>
        <v>662.2</v>
      </c>
      <c r="L574" s="33">
        <f>L575+L576</f>
        <v>61.399999999999977</v>
      </c>
      <c r="M574" s="33">
        <f>M575+M576</f>
        <v>723.6</v>
      </c>
      <c r="N574" s="33">
        <f>N575+N576</f>
        <v>723.6</v>
      </c>
    </row>
    <row r="575" spans="1:14" s="152" customFormat="1" ht="114.6" customHeight="1" x14ac:dyDescent="0.35">
      <c r="A575" s="18"/>
      <c r="B575" s="31" t="s">
        <v>51</v>
      </c>
      <c r="C575" s="32" t="s">
        <v>297</v>
      </c>
      <c r="D575" s="17" t="s">
        <v>106</v>
      </c>
      <c r="E575" s="17" t="s">
        <v>83</v>
      </c>
      <c r="F575" s="659" t="s">
        <v>81</v>
      </c>
      <c r="G575" s="660" t="s">
        <v>47</v>
      </c>
      <c r="H575" s="660" t="s">
        <v>65</v>
      </c>
      <c r="I575" s="661" t="s">
        <v>712</v>
      </c>
      <c r="J575" s="17" t="s">
        <v>52</v>
      </c>
      <c r="K575" s="33">
        <v>632.20000000000005</v>
      </c>
      <c r="L575" s="33">
        <f>M575-K575</f>
        <v>61.399999999999977</v>
      </c>
      <c r="M575" s="33">
        <f>632.2+61.4</f>
        <v>693.6</v>
      </c>
      <c r="N575" s="33">
        <f>632.2+61.4</f>
        <v>693.6</v>
      </c>
    </row>
    <row r="576" spans="1:14" s="152" customFormat="1" ht="58.8" customHeight="1" x14ac:dyDescent="0.35">
      <c r="A576" s="18"/>
      <c r="B576" s="31" t="s">
        <v>57</v>
      </c>
      <c r="C576" s="32" t="s">
        <v>297</v>
      </c>
      <c r="D576" s="17" t="s">
        <v>106</v>
      </c>
      <c r="E576" s="17" t="s">
        <v>83</v>
      </c>
      <c r="F576" s="659" t="s">
        <v>81</v>
      </c>
      <c r="G576" s="660" t="s">
        <v>47</v>
      </c>
      <c r="H576" s="660" t="s">
        <v>65</v>
      </c>
      <c r="I576" s="661" t="s">
        <v>712</v>
      </c>
      <c r="J576" s="17" t="s">
        <v>58</v>
      </c>
      <c r="K576" s="33">
        <v>30</v>
      </c>
      <c r="L576" s="33">
        <f>M576-K576</f>
        <v>0</v>
      </c>
      <c r="M576" s="33">
        <v>30</v>
      </c>
      <c r="N576" s="33">
        <v>30</v>
      </c>
    </row>
    <row r="577" spans="1:14" s="152" customFormat="1" ht="76.2" customHeight="1" x14ac:dyDescent="0.35">
      <c r="A577" s="18"/>
      <c r="B577" s="31" t="s">
        <v>233</v>
      </c>
      <c r="C577" s="32" t="s">
        <v>297</v>
      </c>
      <c r="D577" s="17" t="s">
        <v>106</v>
      </c>
      <c r="E577" s="17" t="s">
        <v>83</v>
      </c>
      <c r="F577" s="659" t="s">
        <v>81</v>
      </c>
      <c r="G577" s="660" t="s">
        <v>47</v>
      </c>
      <c r="H577" s="660" t="s">
        <v>65</v>
      </c>
      <c r="I577" s="661" t="s">
        <v>713</v>
      </c>
      <c r="J577" s="17"/>
      <c r="K577" s="33">
        <f>K578+K579</f>
        <v>6327</v>
      </c>
      <c r="L577" s="33">
        <f>L578+L579</f>
        <v>592.19999999999982</v>
      </c>
      <c r="M577" s="33">
        <f>M578+M579</f>
        <v>6919.2</v>
      </c>
      <c r="N577" s="33">
        <f>N578+N579</f>
        <v>6919.2</v>
      </c>
    </row>
    <row r="578" spans="1:14" s="152" customFormat="1" ht="109.8" customHeight="1" x14ac:dyDescent="0.35">
      <c r="A578" s="18"/>
      <c r="B578" s="31" t="s">
        <v>51</v>
      </c>
      <c r="C578" s="32" t="s">
        <v>297</v>
      </c>
      <c r="D578" s="17" t="s">
        <v>106</v>
      </c>
      <c r="E578" s="17" t="s">
        <v>83</v>
      </c>
      <c r="F578" s="659" t="s">
        <v>81</v>
      </c>
      <c r="G578" s="660" t="s">
        <v>47</v>
      </c>
      <c r="H578" s="660" t="s">
        <v>65</v>
      </c>
      <c r="I578" s="661" t="s">
        <v>713</v>
      </c>
      <c r="J578" s="17" t="s">
        <v>52</v>
      </c>
      <c r="K578" s="33">
        <v>5967</v>
      </c>
      <c r="L578" s="33">
        <f>M578-K578</f>
        <v>592.19999999999982</v>
      </c>
      <c r="M578" s="33">
        <f>5967+592.2</f>
        <v>6559.2</v>
      </c>
      <c r="N578" s="33">
        <f>5967+592.2</f>
        <v>6559.2</v>
      </c>
    </row>
    <row r="579" spans="1:14" s="152" customFormat="1" ht="57.6" customHeight="1" x14ac:dyDescent="0.35">
      <c r="A579" s="18"/>
      <c r="B579" s="31" t="s">
        <v>57</v>
      </c>
      <c r="C579" s="32" t="s">
        <v>297</v>
      </c>
      <c r="D579" s="17" t="s">
        <v>106</v>
      </c>
      <c r="E579" s="17" t="s">
        <v>83</v>
      </c>
      <c r="F579" s="621" t="s">
        <v>81</v>
      </c>
      <c r="G579" s="622" t="s">
        <v>47</v>
      </c>
      <c r="H579" s="622" t="s">
        <v>65</v>
      </c>
      <c r="I579" s="623" t="s">
        <v>713</v>
      </c>
      <c r="J579" s="17" t="s">
        <v>58</v>
      </c>
      <c r="K579" s="33">
        <v>360</v>
      </c>
      <c r="L579" s="33">
        <f>M579-K579</f>
        <v>0</v>
      </c>
      <c r="M579" s="33">
        <v>360</v>
      </c>
      <c r="N579" s="33">
        <v>360</v>
      </c>
    </row>
    <row r="580" spans="1:14" s="152" customFormat="1" ht="18" x14ac:dyDescent="0.35">
      <c r="A580" s="151">
        <v>10</v>
      </c>
      <c r="B580" s="199" t="s">
        <v>371</v>
      </c>
      <c r="C580" s="32"/>
      <c r="D580" s="17"/>
      <c r="E580" s="17"/>
      <c r="F580" s="660"/>
      <c r="G580" s="660"/>
      <c r="H580" s="660"/>
      <c r="I580" s="661"/>
      <c r="J580" s="17"/>
      <c r="K580" s="47">
        <f>K581</f>
        <v>27393.1</v>
      </c>
      <c r="L580" s="47">
        <f>L581</f>
        <v>0</v>
      </c>
      <c r="M580" s="47">
        <f>M581</f>
        <v>27393.1</v>
      </c>
      <c r="N580" s="47">
        <f>N581</f>
        <v>34551.699999999997</v>
      </c>
    </row>
    <row r="581" spans="1:14" s="152" customFormat="1" ht="18" x14ac:dyDescent="0.35">
      <c r="A581" s="18"/>
      <c r="B581" s="123" t="s">
        <v>371</v>
      </c>
      <c r="C581" s="32"/>
      <c r="D581" s="17"/>
      <c r="E581" s="17"/>
      <c r="F581" s="660"/>
      <c r="G581" s="660"/>
      <c r="H581" s="660"/>
      <c r="I581" s="661"/>
      <c r="J581" s="17"/>
      <c r="K581" s="33">
        <f>33320.7-1011.8-4915.8</f>
        <v>27393.1</v>
      </c>
      <c r="L581" s="33">
        <f>M581-K581</f>
        <v>0</v>
      </c>
      <c r="M581" s="33">
        <f>33320.7-1011.8-4915.8</f>
        <v>27393.1</v>
      </c>
      <c r="N581" s="33">
        <v>34551.699999999997</v>
      </c>
    </row>
    <row r="582" spans="1:14" x14ac:dyDescent="0.3">
      <c r="M582" s="44"/>
      <c r="N582" s="44"/>
    </row>
    <row r="583" spans="1:14" x14ac:dyDescent="0.3">
      <c r="M583" s="44"/>
      <c r="N583" s="44"/>
    </row>
    <row r="584" spans="1:14" s="105" customFormat="1" ht="18" x14ac:dyDescent="0.35">
      <c r="A584" s="145" t="s">
        <v>388</v>
      </c>
      <c r="B584" s="107"/>
      <c r="C584" s="108"/>
      <c r="D584" s="108"/>
      <c r="E584" s="108"/>
      <c r="F584" s="59"/>
      <c r="G584" s="144"/>
      <c r="H584" s="191"/>
    </row>
    <row r="585" spans="1:14" s="105" customFormat="1" ht="18" x14ac:dyDescent="0.35">
      <c r="A585" s="145" t="s">
        <v>389</v>
      </c>
      <c r="B585" s="107"/>
      <c r="C585" s="108"/>
      <c r="D585" s="108"/>
      <c r="E585" s="108"/>
      <c r="F585" s="59"/>
      <c r="G585" s="144"/>
      <c r="H585" s="191"/>
    </row>
    <row r="586" spans="1:14" s="105" customFormat="1" ht="18" x14ac:dyDescent="0.35">
      <c r="A586" s="146" t="s">
        <v>390</v>
      </c>
      <c r="B586" s="107"/>
      <c r="D586" s="108"/>
      <c r="E586" s="108"/>
      <c r="F586" s="59"/>
      <c r="N586" s="147" t="s">
        <v>412</v>
      </c>
    </row>
    <row r="588" spans="1:14" s="192" customFormat="1" ht="15.6" hidden="1" x14ac:dyDescent="0.3">
      <c r="B588" s="192" t="s">
        <v>372</v>
      </c>
      <c r="M588" s="193" t="e">
        <f>M581/('прил10 (ведом 23-24)'!#REF!-('прил.3 (пост.безв.23-24)'!C14-'прил.3 (пост.безв.23-24)'!C18))*100</f>
        <v>#REF!</v>
      </c>
      <c r="N588" s="193" t="e">
        <f>N581/('прил10 (ведом 23-24)'!#REF!-('прил.3 (пост.безв.23-24)'!D14-'прил.3 (пост.безв.23-24)'!D18))*100</f>
        <v>#REF!</v>
      </c>
    </row>
    <row r="589" spans="1:14" hidden="1" x14ac:dyDescent="0.3"/>
    <row r="590" spans="1:14" ht="18" hidden="1" x14ac:dyDescent="0.35">
      <c r="D590" s="42" t="s">
        <v>39</v>
      </c>
      <c r="E590" s="42" t="s">
        <v>41</v>
      </c>
      <c r="F590" s="43"/>
      <c r="G590" s="43"/>
      <c r="H590" s="43"/>
      <c r="I590" s="43"/>
      <c r="J590" s="43"/>
      <c r="K590" s="43"/>
      <c r="L590" s="43"/>
      <c r="M590" s="194">
        <f>M20</f>
        <v>2128.5</v>
      </c>
      <c r="N590" s="194">
        <f>N20</f>
        <v>2128.5</v>
      </c>
    </row>
    <row r="591" spans="1:14" ht="18" hidden="1" x14ac:dyDescent="0.35">
      <c r="D591" s="42" t="s">
        <v>39</v>
      </c>
      <c r="E591" s="42" t="s">
        <v>54</v>
      </c>
      <c r="F591" s="43"/>
      <c r="G591" s="43"/>
      <c r="H591" s="43"/>
      <c r="I591" s="43"/>
      <c r="J591" s="43"/>
      <c r="K591" s="43"/>
      <c r="L591" s="43"/>
      <c r="M591" s="194">
        <f>M26</f>
        <v>76819.999999999985</v>
      </c>
      <c r="N591" s="194">
        <f>N26</f>
        <v>76860.799999999988</v>
      </c>
    </row>
    <row r="592" spans="1:14" ht="18" hidden="1" x14ac:dyDescent="0.35">
      <c r="D592" s="42" t="s">
        <v>39</v>
      </c>
      <c r="E592" s="42" t="s">
        <v>67</v>
      </c>
      <c r="F592" s="43"/>
      <c r="G592" s="43"/>
      <c r="H592" s="43"/>
      <c r="I592" s="43"/>
      <c r="J592" s="43"/>
      <c r="K592" s="43"/>
      <c r="L592" s="43"/>
      <c r="M592" s="194">
        <f>M49</f>
        <v>24.700000000000003</v>
      </c>
      <c r="N592" s="194">
        <f>N49</f>
        <v>21.5</v>
      </c>
    </row>
    <row r="593" spans="4:14" ht="18" hidden="1" x14ac:dyDescent="0.35">
      <c r="D593" s="42" t="s">
        <v>39</v>
      </c>
      <c r="E593" s="42" t="s">
        <v>83</v>
      </c>
      <c r="F593" s="43"/>
      <c r="G593" s="43"/>
      <c r="H593" s="43"/>
      <c r="I593" s="43"/>
      <c r="J593" s="43"/>
      <c r="K593" s="43"/>
      <c r="L593" s="43"/>
      <c r="M593" s="194">
        <f>M174+M201</f>
        <v>30179.4</v>
      </c>
      <c r="N593" s="194">
        <f>N174+N201</f>
        <v>30180.2</v>
      </c>
    </row>
    <row r="594" spans="4:14" ht="18" hidden="1" x14ac:dyDescent="0.35">
      <c r="D594" s="42" t="s">
        <v>39</v>
      </c>
      <c r="E594" s="42" t="s">
        <v>69</v>
      </c>
      <c r="F594" s="43"/>
      <c r="G594" s="43"/>
      <c r="H594" s="43"/>
      <c r="I594" s="43"/>
      <c r="J594" s="43"/>
      <c r="K594" s="43"/>
      <c r="L594" s="43"/>
      <c r="M594" s="194">
        <f>M55</f>
        <v>5000</v>
      </c>
      <c r="N594" s="194">
        <f>N55</f>
        <v>5000</v>
      </c>
    </row>
    <row r="595" spans="4:14" ht="18" hidden="1" x14ac:dyDescent="0.35">
      <c r="D595" s="42" t="s">
        <v>39</v>
      </c>
      <c r="E595" s="42" t="s">
        <v>73</v>
      </c>
      <c r="F595" s="43"/>
      <c r="G595" s="43"/>
      <c r="H595" s="43"/>
      <c r="I595" s="43"/>
      <c r="J595" s="43"/>
      <c r="K595" s="43"/>
      <c r="L595" s="43"/>
      <c r="M595" s="194">
        <f>M211+M182+M519+M60+M408+M471+M273</f>
        <v>33853.799999999996</v>
      </c>
      <c r="N595" s="194">
        <f>N211+N182+N519+N60+N408+N471+N273</f>
        <v>35580.9</v>
      </c>
    </row>
    <row r="596" spans="4:14" ht="18" hidden="1" x14ac:dyDescent="0.35">
      <c r="D596" s="195" t="s">
        <v>39</v>
      </c>
      <c r="E596" s="195" t="s">
        <v>45</v>
      </c>
      <c r="F596" s="43"/>
      <c r="G596" s="43"/>
      <c r="H596" s="43"/>
      <c r="I596" s="43"/>
      <c r="J596" s="43"/>
      <c r="K596" s="43"/>
      <c r="L596" s="43"/>
      <c r="M596" s="196">
        <f>SUBTOTAL(9,M590:M595)</f>
        <v>148006.39999999997</v>
      </c>
      <c r="N596" s="196">
        <f>SUBTOTAL(9,N590:N595)</f>
        <v>149771.9</v>
      </c>
    </row>
    <row r="597" spans="4:14" ht="18" hidden="1" x14ac:dyDescent="0.35">
      <c r="D597" s="42"/>
      <c r="E597" s="42"/>
      <c r="F597" s="43"/>
      <c r="G597" s="43"/>
      <c r="H597" s="43"/>
      <c r="I597" s="43"/>
      <c r="J597" s="43"/>
      <c r="K597" s="43"/>
      <c r="L597" s="43"/>
      <c r="M597" s="194"/>
      <c r="N597" s="194"/>
    </row>
    <row r="598" spans="4:14" ht="18" hidden="1" x14ac:dyDescent="0.35">
      <c r="D598" s="42" t="s">
        <v>65</v>
      </c>
      <c r="E598" s="42" t="s">
        <v>106</v>
      </c>
      <c r="F598" s="43"/>
      <c r="G598" s="43"/>
      <c r="H598" s="43"/>
      <c r="I598" s="43"/>
      <c r="J598" s="43"/>
      <c r="K598" s="43"/>
      <c r="L598" s="43"/>
      <c r="M598" s="194">
        <f>M84</f>
        <v>362.29999999999995</v>
      </c>
      <c r="N598" s="194">
        <f>N84</f>
        <v>362.29999999999995</v>
      </c>
    </row>
    <row r="599" spans="4:14" ht="18" hidden="1" x14ac:dyDescent="0.35">
      <c r="D599" s="42" t="s">
        <v>65</v>
      </c>
      <c r="E599" s="42" t="s">
        <v>90</v>
      </c>
      <c r="F599" s="43"/>
      <c r="G599" s="43"/>
      <c r="H599" s="43"/>
      <c r="I599" s="43"/>
      <c r="J599" s="43"/>
      <c r="K599" s="43"/>
      <c r="L599" s="43"/>
      <c r="M599" s="194">
        <f>M92</f>
        <v>11495.8</v>
      </c>
      <c r="N599" s="194">
        <f>N92</f>
        <v>11496.199999999999</v>
      </c>
    </row>
    <row r="600" spans="4:14" ht="18" hidden="1" x14ac:dyDescent="0.35">
      <c r="D600" s="195" t="s">
        <v>65</v>
      </c>
      <c r="E600" s="195" t="s">
        <v>45</v>
      </c>
      <c r="F600" s="43"/>
      <c r="G600" s="43"/>
      <c r="H600" s="43"/>
      <c r="I600" s="43"/>
      <c r="J600" s="43"/>
      <c r="K600" s="43"/>
      <c r="L600" s="43"/>
      <c r="M600" s="196">
        <f>SUBTOTAL(9,M598:M599)</f>
        <v>11858.099999999999</v>
      </c>
      <c r="N600" s="196">
        <f>SUBTOTAL(9,N598:N599)</f>
        <v>11858.499999999998</v>
      </c>
    </row>
    <row r="601" spans="4:14" ht="18" hidden="1" x14ac:dyDescent="0.35">
      <c r="D601" s="42"/>
      <c r="E601" s="42"/>
      <c r="F601" s="43"/>
      <c r="G601" s="43"/>
      <c r="H601" s="43"/>
      <c r="I601" s="43"/>
      <c r="J601" s="43"/>
      <c r="K601" s="43"/>
      <c r="L601" s="43"/>
      <c r="M601" s="194"/>
      <c r="N601" s="194"/>
    </row>
    <row r="602" spans="4:14" ht="18" hidden="1" x14ac:dyDescent="0.35">
      <c r="D602" s="42" t="s">
        <v>54</v>
      </c>
      <c r="E602" s="42" t="s">
        <v>67</v>
      </c>
      <c r="F602" s="43"/>
      <c r="G602" s="43"/>
      <c r="H602" s="43"/>
      <c r="I602" s="43"/>
      <c r="J602" s="43"/>
      <c r="K602" s="43"/>
      <c r="L602" s="43"/>
      <c r="M602" s="194">
        <f>M112</f>
        <v>12695.300000000001</v>
      </c>
      <c r="N602" s="194">
        <f>N112</f>
        <v>17253.900000000001</v>
      </c>
    </row>
    <row r="603" spans="4:14" ht="18" hidden="1" x14ac:dyDescent="0.35">
      <c r="D603" s="42" t="s">
        <v>54</v>
      </c>
      <c r="E603" s="42" t="s">
        <v>81</v>
      </c>
      <c r="F603" s="43"/>
      <c r="G603" s="43"/>
      <c r="H603" s="43"/>
      <c r="I603" s="43"/>
      <c r="J603" s="43"/>
      <c r="K603" s="43"/>
      <c r="L603" s="43"/>
      <c r="M603" s="194">
        <f>M121</f>
        <v>6443.4</v>
      </c>
      <c r="N603" s="194">
        <f>N121</f>
        <v>6701.1</v>
      </c>
    </row>
    <row r="604" spans="4:14" ht="18" hidden="1" x14ac:dyDescent="0.35">
      <c r="D604" s="42" t="s">
        <v>54</v>
      </c>
      <c r="E604" s="42" t="s">
        <v>102</v>
      </c>
      <c r="F604" s="43"/>
      <c r="G604" s="43"/>
      <c r="H604" s="43"/>
      <c r="I604" s="43"/>
      <c r="J604" s="43"/>
      <c r="K604" s="43"/>
      <c r="L604" s="43"/>
      <c r="M604" s="194">
        <f>M127</f>
        <v>9150.2999999999993</v>
      </c>
      <c r="N604" s="194">
        <f>N127</f>
        <v>7502.6</v>
      </c>
    </row>
    <row r="605" spans="4:14" ht="18" hidden="1" x14ac:dyDescent="0.35">
      <c r="D605" s="195" t="s">
        <v>54</v>
      </c>
      <c r="E605" s="195" t="s">
        <v>45</v>
      </c>
      <c r="F605" s="43"/>
      <c r="G605" s="43"/>
      <c r="H605" s="43"/>
      <c r="I605" s="43"/>
      <c r="J605" s="43"/>
      <c r="K605" s="43"/>
      <c r="L605" s="43"/>
      <c r="M605" s="196">
        <f>SUBTOTAL(9,M602:M604)</f>
        <v>28289</v>
      </c>
      <c r="N605" s="196">
        <f>SUBTOTAL(9,N602:N604)</f>
        <v>31457.599999999999</v>
      </c>
    </row>
    <row r="606" spans="4:14" ht="18" hidden="1" x14ac:dyDescent="0.35">
      <c r="D606" s="42"/>
      <c r="E606" s="42"/>
      <c r="F606" s="43"/>
      <c r="G606" s="43"/>
      <c r="H606" s="43"/>
      <c r="I606" s="43"/>
      <c r="J606" s="43"/>
      <c r="K606" s="43"/>
      <c r="L606" s="43"/>
      <c r="M606" s="194"/>
      <c r="N606" s="194"/>
    </row>
    <row r="607" spans="4:14" ht="18" hidden="1" x14ac:dyDescent="0.35">
      <c r="D607" s="42" t="s">
        <v>67</v>
      </c>
      <c r="E607" s="42" t="s">
        <v>39</v>
      </c>
      <c r="F607" s="43"/>
      <c r="G607" s="43"/>
      <c r="H607" s="43"/>
      <c r="I607" s="43"/>
      <c r="J607" s="43"/>
      <c r="K607" s="43"/>
      <c r="L607" s="43"/>
      <c r="M607" s="194"/>
      <c r="N607" s="194"/>
    </row>
    <row r="608" spans="4:14" ht="18" hidden="1" x14ac:dyDescent="0.35">
      <c r="D608" s="42" t="s">
        <v>67</v>
      </c>
      <c r="E608" s="42" t="s">
        <v>41</v>
      </c>
      <c r="F608" s="43"/>
      <c r="G608" s="43"/>
      <c r="H608" s="43"/>
      <c r="I608" s="43"/>
      <c r="J608" s="43"/>
      <c r="K608" s="43"/>
      <c r="L608" s="43"/>
      <c r="M608" s="194"/>
      <c r="N608" s="194"/>
    </row>
    <row r="609" spans="4:14" ht="18" hidden="1" x14ac:dyDescent="0.35">
      <c r="D609" s="42" t="s">
        <v>67</v>
      </c>
      <c r="E609" s="42" t="s">
        <v>65</v>
      </c>
      <c r="F609" s="43"/>
      <c r="G609" s="43"/>
      <c r="H609" s="43"/>
      <c r="I609" s="43"/>
      <c r="J609" s="43"/>
      <c r="K609" s="43"/>
      <c r="L609" s="43"/>
      <c r="M609" s="194">
        <f>M152</f>
        <v>3516.2</v>
      </c>
      <c r="N609" s="194">
        <f>N152</f>
        <v>0</v>
      </c>
    </row>
    <row r="610" spans="4:14" ht="18" hidden="1" x14ac:dyDescent="0.35">
      <c r="D610" s="195" t="s">
        <v>67</v>
      </c>
      <c r="E610" s="195" t="s">
        <v>45</v>
      </c>
      <c r="F610" s="43"/>
      <c r="G610" s="43"/>
      <c r="H610" s="43"/>
      <c r="I610" s="43"/>
      <c r="J610" s="43"/>
      <c r="K610" s="43"/>
      <c r="L610" s="43"/>
      <c r="M610" s="196">
        <f>SUBTOTAL(9,M607:M609)</f>
        <v>3516.2</v>
      </c>
      <c r="N610" s="196">
        <f>SUBTOTAL(9,N607:N609)</f>
        <v>0</v>
      </c>
    </row>
    <row r="611" spans="4:14" ht="18" hidden="1" x14ac:dyDescent="0.35">
      <c r="D611" s="42"/>
      <c r="E611" s="42"/>
      <c r="F611" s="43"/>
      <c r="G611" s="43"/>
      <c r="H611" s="43"/>
      <c r="I611" s="43"/>
      <c r="J611" s="43"/>
      <c r="K611" s="43"/>
      <c r="L611" s="43"/>
      <c r="M611" s="194"/>
      <c r="N611" s="194"/>
    </row>
    <row r="612" spans="4:14" ht="18" hidden="1" x14ac:dyDescent="0.35">
      <c r="D612" s="42" t="s">
        <v>226</v>
      </c>
      <c r="E612" s="42" t="s">
        <v>39</v>
      </c>
      <c r="F612" s="43"/>
      <c r="G612" s="43"/>
      <c r="H612" s="43"/>
      <c r="I612" s="43"/>
      <c r="J612" s="43"/>
      <c r="K612" s="43"/>
      <c r="L612" s="43"/>
      <c r="M612" s="194">
        <f>M286+M242</f>
        <v>383610.4</v>
      </c>
      <c r="N612" s="194">
        <f>N286+N242</f>
        <v>338318.30000000005</v>
      </c>
    </row>
    <row r="613" spans="4:14" ht="18" hidden="1" x14ac:dyDescent="0.35">
      <c r="D613" s="42" t="s">
        <v>226</v>
      </c>
      <c r="E613" s="42" t="s">
        <v>41</v>
      </c>
      <c r="F613" s="43"/>
      <c r="G613" s="43"/>
      <c r="H613" s="43"/>
      <c r="I613" s="43"/>
      <c r="J613" s="43"/>
      <c r="K613" s="43"/>
      <c r="L613" s="43"/>
      <c r="M613" s="194">
        <f>M308+M248</f>
        <v>622488.40000000014</v>
      </c>
      <c r="N613" s="194">
        <f>N308+N248</f>
        <v>614556.79999999993</v>
      </c>
    </row>
    <row r="614" spans="4:14" ht="18" hidden="1" x14ac:dyDescent="0.35">
      <c r="D614" s="42" t="s">
        <v>226</v>
      </c>
      <c r="E614" s="42" t="s">
        <v>65</v>
      </c>
      <c r="F614" s="43"/>
      <c r="G614" s="43"/>
      <c r="H614" s="43"/>
      <c r="I614" s="43"/>
      <c r="J614" s="43"/>
      <c r="K614" s="43"/>
      <c r="L614" s="43"/>
      <c r="M614" s="194">
        <f>+M353+M415</f>
        <v>121543.30000000002</v>
      </c>
      <c r="N614" s="194">
        <f>+N353+N415</f>
        <v>131669.69999999998</v>
      </c>
    </row>
    <row r="615" spans="4:14" ht="18" hidden="1" x14ac:dyDescent="0.35">
      <c r="D615" s="42" t="s">
        <v>226</v>
      </c>
      <c r="E615" s="42" t="s">
        <v>67</v>
      </c>
      <c r="F615" s="43"/>
      <c r="G615" s="43"/>
      <c r="H615" s="43"/>
      <c r="I615" s="43"/>
      <c r="J615" s="43"/>
      <c r="K615" s="43"/>
      <c r="L615" s="43"/>
      <c r="M615" s="194"/>
      <c r="N615" s="194"/>
    </row>
    <row r="616" spans="4:14" ht="18" hidden="1" x14ac:dyDescent="0.35">
      <c r="D616" s="42" t="s">
        <v>226</v>
      </c>
      <c r="E616" s="42" t="s">
        <v>226</v>
      </c>
      <c r="F616" s="43"/>
      <c r="G616" s="43"/>
      <c r="H616" s="43"/>
      <c r="I616" s="43"/>
      <c r="J616" s="43"/>
      <c r="K616" s="43"/>
      <c r="L616" s="43"/>
      <c r="M616" s="194">
        <f>M532+M374+M423</f>
        <v>11998.899999999998</v>
      </c>
      <c r="N616" s="194">
        <f>N532+N374+N423</f>
        <v>11998.899999999998</v>
      </c>
    </row>
    <row r="617" spans="4:14" ht="18" hidden="1" x14ac:dyDescent="0.35">
      <c r="D617" s="42" t="s">
        <v>226</v>
      </c>
      <c r="E617" s="42" t="s">
        <v>81</v>
      </c>
      <c r="F617" s="43"/>
      <c r="G617" s="43"/>
      <c r="H617" s="43"/>
      <c r="I617" s="43"/>
      <c r="J617" s="43"/>
      <c r="K617" s="43"/>
      <c r="L617" s="43"/>
      <c r="M617" s="194">
        <f>M382+M429+M540</f>
        <v>19881.600000000002</v>
      </c>
      <c r="N617" s="194">
        <f>N382+N429+N540</f>
        <v>68017.100000000006</v>
      </c>
    </row>
    <row r="618" spans="4:14" ht="18" hidden="1" x14ac:dyDescent="0.35">
      <c r="D618" s="195" t="s">
        <v>226</v>
      </c>
      <c r="E618" s="195" t="s">
        <v>45</v>
      </c>
      <c r="F618" s="43"/>
      <c r="G618" s="43"/>
      <c r="H618" s="43"/>
      <c r="I618" s="43"/>
      <c r="J618" s="43"/>
      <c r="K618" s="43"/>
      <c r="L618" s="43"/>
      <c r="M618" s="196">
        <f>SUBTOTAL(9,M612:M617)</f>
        <v>1159522.6000000001</v>
      </c>
      <c r="N618" s="196">
        <f>SUBTOTAL(9,N612:N617)</f>
        <v>1164560.8</v>
      </c>
    </row>
    <row r="619" spans="4:14" ht="18" hidden="1" x14ac:dyDescent="0.35">
      <c r="D619" s="42"/>
      <c r="E619" s="42"/>
      <c r="F619" s="43"/>
      <c r="G619" s="43"/>
      <c r="H619" s="43"/>
      <c r="I619" s="43"/>
      <c r="J619" s="43"/>
      <c r="K619" s="43"/>
      <c r="L619" s="43"/>
      <c r="M619" s="194"/>
      <c r="N619" s="194"/>
    </row>
    <row r="620" spans="4:14" ht="18" hidden="1" x14ac:dyDescent="0.35">
      <c r="D620" s="42" t="s">
        <v>228</v>
      </c>
      <c r="E620" s="42" t="s">
        <v>39</v>
      </c>
      <c r="F620" s="43"/>
      <c r="G620" s="43"/>
      <c r="H620" s="43"/>
      <c r="I620" s="43"/>
      <c r="J620" s="43"/>
      <c r="K620" s="43"/>
      <c r="L620" s="43"/>
      <c r="M620" s="194">
        <f>M436</f>
        <v>24617.300000000003</v>
      </c>
      <c r="N620" s="194">
        <f>N436</f>
        <v>26988.1</v>
      </c>
    </row>
    <row r="621" spans="4:14" ht="18" hidden="1" x14ac:dyDescent="0.35">
      <c r="D621" s="42" t="s">
        <v>228</v>
      </c>
      <c r="E621" s="42" t="s">
        <v>54</v>
      </c>
      <c r="F621" s="43"/>
      <c r="G621" s="43"/>
      <c r="H621" s="43"/>
      <c r="I621" s="43"/>
      <c r="J621" s="43"/>
      <c r="K621" s="43"/>
      <c r="L621" s="43"/>
      <c r="M621" s="194">
        <f>M456</f>
        <v>9253.1</v>
      </c>
      <c r="N621" s="194">
        <f>N456</f>
        <v>9910</v>
      </c>
    </row>
    <row r="622" spans="4:14" ht="18" hidden="1" x14ac:dyDescent="0.35">
      <c r="D622" s="195" t="s">
        <v>228</v>
      </c>
      <c r="E622" s="195" t="s">
        <v>45</v>
      </c>
      <c r="F622" s="43"/>
      <c r="G622" s="43"/>
      <c r="H622" s="43"/>
      <c r="I622" s="43"/>
      <c r="J622" s="43"/>
      <c r="K622" s="43"/>
      <c r="L622" s="43"/>
      <c r="M622" s="196">
        <f>SUBTOTAL(9,M620:M621)</f>
        <v>33870.400000000001</v>
      </c>
      <c r="N622" s="196">
        <f>SUBTOTAL(9,N620:N621)</f>
        <v>36898.1</v>
      </c>
    </row>
    <row r="623" spans="4:14" ht="18" hidden="1" x14ac:dyDescent="0.35">
      <c r="D623" s="42"/>
      <c r="E623" s="42"/>
      <c r="F623" s="43"/>
      <c r="G623" s="43"/>
      <c r="H623" s="43"/>
      <c r="I623" s="43"/>
      <c r="J623" s="43"/>
      <c r="K623" s="43"/>
      <c r="L623" s="43"/>
      <c r="M623" s="194"/>
      <c r="N623" s="194"/>
    </row>
    <row r="624" spans="4:14" ht="18" hidden="1" x14ac:dyDescent="0.35">
      <c r="D624" s="42" t="s">
        <v>106</v>
      </c>
      <c r="E624" s="42" t="s">
        <v>39</v>
      </c>
      <c r="F624" s="43"/>
      <c r="G624" s="43"/>
      <c r="H624" s="43"/>
      <c r="I624" s="43"/>
      <c r="J624" s="43"/>
      <c r="K624" s="43"/>
      <c r="L624" s="43"/>
      <c r="M624" s="194">
        <f>M159</f>
        <v>504</v>
      </c>
      <c r="N624" s="194">
        <f>N159</f>
        <v>504</v>
      </c>
    </row>
    <row r="625" spans="4:14" ht="18" hidden="1" x14ac:dyDescent="0.35">
      <c r="D625" s="42" t="s">
        <v>106</v>
      </c>
      <c r="E625" s="42" t="s">
        <v>54</v>
      </c>
      <c r="F625" s="43"/>
      <c r="G625" s="43"/>
      <c r="H625" s="43"/>
      <c r="I625" s="43"/>
      <c r="J625" s="43"/>
      <c r="K625" s="43"/>
      <c r="L625" s="43"/>
      <c r="M625" s="194">
        <f>M255+M398+M551</f>
        <v>120323.9</v>
      </c>
      <c r="N625" s="194">
        <f>N255+N398+N551</f>
        <v>121854.20000000001</v>
      </c>
    </row>
    <row r="626" spans="4:14" ht="18" hidden="1" x14ac:dyDescent="0.35">
      <c r="D626" s="42" t="s">
        <v>106</v>
      </c>
      <c r="E626" s="42" t="s">
        <v>83</v>
      </c>
      <c r="F626" s="43"/>
      <c r="G626" s="43"/>
      <c r="H626" s="43"/>
      <c r="I626" s="43"/>
      <c r="J626" s="43"/>
      <c r="K626" s="43"/>
      <c r="L626" s="43"/>
      <c r="M626" s="194">
        <f>M567+M165</f>
        <v>9579.3000000000011</v>
      </c>
      <c r="N626" s="194">
        <f>N567+N165</f>
        <v>9579.3000000000011</v>
      </c>
    </row>
    <row r="627" spans="4:14" ht="18" hidden="1" x14ac:dyDescent="0.35">
      <c r="D627" s="195" t="s">
        <v>106</v>
      </c>
      <c r="E627" s="195" t="s">
        <v>45</v>
      </c>
      <c r="F627" s="43"/>
      <c r="G627" s="43"/>
      <c r="H627" s="43"/>
      <c r="I627" s="43"/>
      <c r="J627" s="43"/>
      <c r="K627" s="43"/>
      <c r="L627" s="43"/>
      <c r="M627" s="196">
        <f>SUBTOTAL(9,M624:M626)</f>
        <v>130407.2</v>
      </c>
      <c r="N627" s="196">
        <f>SUBTOTAL(9,N624:N626)</f>
        <v>131937.5</v>
      </c>
    </row>
    <row r="628" spans="4:14" ht="18" hidden="1" x14ac:dyDescent="0.35">
      <c r="D628" s="42"/>
      <c r="E628" s="42"/>
      <c r="F628" s="43"/>
      <c r="G628" s="43"/>
      <c r="H628" s="43"/>
      <c r="I628" s="43"/>
      <c r="J628" s="43"/>
      <c r="K628" s="43"/>
      <c r="L628" s="43"/>
      <c r="M628" s="194"/>
      <c r="N628" s="194"/>
    </row>
    <row r="629" spans="4:14" ht="18" hidden="1" x14ac:dyDescent="0.35">
      <c r="D629" s="42" t="s">
        <v>69</v>
      </c>
      <c r="E629" s="42" t="s">
        <v>39</v>
      </c>
      <c r="F629" s="43"/>
      <c r="G629" s="43"/>
      <c r="H629" s="43"/>
      <c r="I629" s="43"/>
      <c r="J629" s="43"/>
      <c r="K629" s="43"/>
      <c r="L629" s="43"/>
      <c r="M629" s="194">
        <f>M478+M264</f>
        <v>42663.199999999997</v>
      </c>
      <c r="N629" s="194">
        <f>N478+N264</f>
        <v>27452.1</v>
      </c>
    </row>
    <row r="630" spans="4:14" ht="18" hidden="1" x14ac:dyDescent="0.35">
      <c r="D630" s="42" t="s">
        <v>69</v>
      </c>
      <c r="E630" s="42" t="s">
        <v>41</v>
      </c>
      <c r="F630" s="43"/>
      <c r="G630" s="43"/>
      <c r="H630" s="43"/>
      <c r="I630" s="43"/>
      <c r="J630" s="43"/>
      <c r="K630" s="43"/>
      <c r="L630" s="43"/>
      <c r="M630" s="194">
        <f>M498</f>
        <v>4319.5</v>
      </c>
      <c r="N630" s="194">
        <f>N498</f>
        <v>629.70000000000005</v>
      </c>
    </row>
    <row r="631" spans="4:14" ht="18" hidden="1" x14ac:dyDescent="0.35">
      <c r="D631" s="42" t="s">
        <v>69</v>
      </c>
      <c r="E631" s="42" t="s">
        <v>67</v>
      </c>
      <c r="F631" s="43"/>
      <c r="G631" s="43"/>
      <c r="H631" s="43"/>
      <c r="I631" s="43"/>
      <c r="J631" s="43"/>
      <c r="K631" s="43"/>
      <c r="L631" s="43"/>
      <c r="M631" s="194">
        <f>M508</f>
        <v>2486.9</v>
      </c>
      <c r="N631" s="194">
        <f>N508</f>
        <v>2487.9</v>
      </c>
    </row>
    <row r="632" spans="4:14" ht="18" hidden="1" x14ac:dyDescent="0.35">
      <c r="D632" s="195" t="s">
        <v>69</v>
      </c>
      <c r="E632" s="195" t="s">
        <v>45</v>
      </c>
      <c r="F632" s="43"/>
      <c r="G632" s="43"/>
      <c r="H632" s="43"/>
      <c r="I632" s="43"/>
      <c r="J632" s="43"/>
      <c r="K632" s="43"/>
      <c r="L632" s="43"/>
      <c r="M632" s="196">
        <f>SUBTOTAL(9,M629:M631)</f>
        <v>49469.599999999999</v>
      </c>
      <c r="N632" s="196">
        <f>SUBTOTAL(9,N629:N631)</f>
        <v>30569.7</v>
      </c>
    </row>
    <row r="633" spans="4:14" ht="18" hidden="1" x14ac:dyDescent="0.35">
      <c r="D633" s="42"/>
      <c r="E633" s="42"/>
      <c r="F633" s="43"/>
      <c r="G633" s="43"/>
      <c r="H633" s="43"/>
      <c r="I633" s="43"/>
      <c r="J633" s="43"/>
      <c r="K633" s="43"/>
      <c r="L633" s="43"/>
      <c r="M633" s="194"/>
      <c r="N633" s="194"/>
    </row>
    <row r="634" spans="4:14" ht="18" hidden="1" x14ac:dyDescent="0.35">
      <c r="D634" s="42" t="s">
        <v>73</v>
      </c>
      <c r="E634" s="42" t="s">
        <v>39</v>
      </c>
      <c r="F634" s="43"/>
      <c r="G634" s="43"/>
      <c r="H634" s="43"/>
      <c r="I634" s="43"/>
      <c r="J634" s="43"/>
      <c r="K634" s="43"/>
      <c r="L634" s="43"/>
      <c r="M634" s="194"/>
      <c r="N634" s="194"/>
    </row>
    <row r="635" spans="4:14" ht="18" hidden="1" x14ac:dyDescent="0.35">
      <c r="D635" s="195" t="s">
        <v>73</v>
      </c>
      <c r="E635" s="195" t="s">
        <v>45</v>
      </c>
      <c r="F635" s="43"/>
      <c r="G635" s="43"/>
      <c r="H635" s="43"/>
      <c r="I635" s="43"/>
      <c r="J635" s="43"/>
      <c r="K635" s="43"/>
      <c r="L635" s="43"/>
      <c r="M635" s="196">
        <f>M634</f>
        <v>0</v>
      </c>
      <c r="N635" s="196">
        <f>N634</f>
        <v>0</v>
      </c>
    </row>
    <row r="636" spans="4:14" ht="18" hidden="1" x14ac:dyDescent="0.35">
      <c r="D636" s="42"/>
      <c r="E636" s="42"/>
      <c r="F636" s="43"/>
      <c r="G636" s="43"/>
      <c r="H636" s="43"/>
      <c r="I636" s="43"/>
      <c r="J636" s="43"/>
      <c r="K636" s="43"/>
      <c r="L636" s="43"/>
      <c r="M636" s="194"/>
      <c r="N636" s="194"/>
    </row>
    <row r="637" spans="4:14" ht="18" hidden="1" x14ac:dyDescent="0.35">
      <c r="D637" s="42" t="s">
        <v>90</v>
      </c>
      <c r="E637" s="42" t="s">
        <v>39</v>
      </c>
      <c r="F637" s="43"/>
      <c r="G637" s="43"/>
      <c r="H637" s="43"/>
      <c r="I637" s="43"/>
      <c r="J637" s="43"/>
      <c r="K637" s="43"/>
      <c r="L637" s="43"/>
      <c r="M637" s="194">
        <f>M192</f>
        <v>7000</v>
      </c>
      <c r="N637" s="194">
        <f>N192</f>
        <v>7000</v>
      </c>
    </row>
    <row r="638" spans="4:14" ht="18" hidden="1" x14ac:dyDescent="0.35">
      <c r="D638" s="195" t="s">
        <v>90</v>
      </c>
      <c r="E638" s="195" t="s">
        <v>45</v>
      </c>
      <c r="F638" s="43"/>
      <c r="G638" s="43"/>
      <c r="H638" s="43"/>
      <c r="I638" s="43"/>
      <c r="J638" s="43"/>
      <c r="K638" s="43"/>
      <c r="L638" s="43"/>
      <c r="M638" s="196">
        <f>SUBTOTAL(9,M637:M637)</f>
        <v>7000</v>
      </c>
      <c r="N638" s="196">
        <f>SUBTOTAL(9,N637:N637)</f>
        <v>7000</v>
      </c>
    </row>
    <row r="639" spans="4:14" ht="18" hidden="1" x14ac:dyDescent="0.35">
      <c r="D639" s="42"/>
      <c r="E639" s="42"/>
      <c r="F639" s="43"/>
      <c r="G639" s="43"/>
      <c r="H639" s="43"/>
      <c r="I639" s="43"/>
      <c r="J639" s="43"/>
      <c r="K639" s="43"/>
      <c r="L639" s="43"/>
      <c r="M639" s="194"/>
      <c r="N639" s="194"/>
    </row>
    <row r="640" spans="4:14" ht="18" hidden="1" x14ac:dyDescent="0.35">
      <c r="D640" s="197" t="s">
        <v>373</v>
      </c>
      <c r="E640" s="42"/>
      <c r="F640" s="43"/>
      <c r="G640" s="43"/>
      <c r="H640" s="43"/>
      <c r="I640" s="43"/>
      <c r="J640" s="43"/>
      <c r="K640" s="43"/>
      <c r="L640" s="43"/>
      <c r="M640" s="194">
        <f>M580</f>
        <v>27393.1</v>
      </c>
      <c r="N640" s="194">
        <f>N580</f>
        <v>34551.699999999997</v>
      </c>
    </row>
    <row r="641" spans="2:14" ht="18" hidden="1" x14ac:dyDescent="0.35">
      <c r="D641" s="42"/>
      <c r="E641" s="42"/>
      <c r="F641" s="43"/>
      <c r="G641" s="43"/>
      <c r="H641" s="43"/>
      <c r="I641" s="43"/>
      <c r="J641" s="43"/>
      <c r="K641" s="43"/>
      <c r="L641" s="43"/>
      <c r="M641" s="194"/>
      <c r="N641" s="194"/>
    </row>
    <row r="642" spans="2:14" ht="18" hidden="1" x14ac:dyDescent="0.35">
      <c r="D642" s="42"/>
      <c r="E642" s="42"/>
      <c r="F642" s="43"/>
      <c r="G642" s="43"/>
      <c r="H642" s="43"/>
      <c r="I642" s="43"/>
      <c r="J642" s="43"/>
      <c r="K642" s="43"/>
      <c r="L642" s="43"/>
      <c r="M642" s="196"/>
      <c r="N642" s="196"/>
    </row>
    <row r="643" spans="2:14" ht="18" hidden="1" x14ac:dyDescent="0.35">
      <c r="D643" s="42"/>
      <c r="E643" s="42"/>
      <c r="F643" s="43"/>
      <c r="G643" s="43"/>
      <c r="H643" s="43"/>
      <c r="I643" s="43"/>
      <c r="J643" s="43"/>
      <c r="K643" s="43"/>
      <c r="L643" s="43"/>
      <c r="M643" s="194"/>
      <c r="N643" s="194"/>
    </row>
    <row r="644" spans="2:14" ht="18" hidden="1" x14ac:dyDescent="0.35">
      <c r="B644" s="8" t="s">
        <v>376</v>
      </c>
      <c r="D644" s="42"/>
      <c r="E644" s="42"/>
      <c r="F644" s="43"/>
      <c r="G644" s="43"/>
      <c r="H644" s="43"/>
      <c r="I644" s="43"/>
      <c r="J644" s="43"/>
      <c r="K644" s="43"/>
      <c r="L644" s="43"/>
      <c r="M644" s="194"/>
      <c r="N644" s="194"/>
    </row>
    <row r="645" spans="2:14" ht="18" hidden="1" x14ac:dyDescent="0.35">
      <c r="B645" s="8" t="s">
        <v>375</v>
      </c>
      <c r="D645" s="42"/>
      <c r="E645" s="42"/>
      <c r="F645" s="43"/>
      <c r="G645" s="43"/>
      <c r="H645" s="43"/>
      <c r="I645" s="43"/>
      <c r="J645" s="43"/>
      <c r="K645" s="43"/>
      <c r="L645" s="43"/>
      <c r="M645" s="194"/>
      <c r="N645" s="194"/>
    </row>
    <row r="646" spans="2:14" ht="18" hidden="1" x14ac:dyDescent="0.35">
      <c r="D646" s="42"/>
      <c r="E646" s="42"/>
      <c r="F646" s="43"/>
      <c r="G646" s="43"/>
      <c r="H646" s="43"/>
      <c r="I646" s="43"/>
      <c r="J646" s="43"/>
      <c r="K646" s="43"/>
      <c r="L646" s="43"/>
      <c r="M646" s="198"/>
      <c r="N646" s="198"/>
    </row>
    <row r="647" spans="2:14" ht="18" hidden="1" x14ac:dyDescent="0.35">
      <c r="D647" s="42"/>
      <c r="E647" s="42"/>
      <c r="F647" s="43"/>
      <c r="G647" s="43"/>
      <c r="H647" s="43"/>
      <c r="I647" s="43"/>
      <c r="J647" s="43"/>
      <c r="K647" s="43"/>
      <c r="L647" s="43"/>
      <c r="M647" s="198"/>
      <c r="N647" s="198"/>
    </row>
    <row r="648" spans="2:14" hidden="1" x14ac:dyDescent="0.3"/>
    <row r="649" spans="2:14" hidden="1" x14ac:dyDescent="0.3">
      <c r="M649" s="44"/>
      <c r="N649" s="44"/>
    </row>
  </sheetData>
  <autoFilter ref="A4:N649"/>
  <mergeCells count="12">
    <mergeCell ref="F15:I15"/>
    <mergeCell ref="A9:N9"/>
    <mergeCell ref="A13:A14"/>
    <mergeCell ref="B13:B14"/>
    <mergeCell ref="C13:C14"/>
    <mergeCell ref="D13:D14"/>
    <mergeCell ref="E13:E14"/>
    <mergeCell ref="F13:I14"/>
    <mergeCell ref="J13:J14"/>
    <mergeCell ref="N13:N14"/>
    <mergeCell ref="L13:M13"/>
    <mergeCell ref="K13:K14"/>
  </mergeCells>
  <printOptions horizontalCentered="1"/>
  <pageMargins left="1.1811023622047245" right="0.39370078740157483" top="0.78740157480314965" bottom="0.78740157480314965" header="0.31496062992125984" footer="0.31496062992125984"/>
  <pageSetup paperSize="9" scale="63" fitToHeight="0" orientation="portrait" blackAndWhite="1" r:id="rId1"/>
  <headerFooter differentFirst="1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21</vt:i4>
      </vt:variant>
    </vt:vector>
  </HeadingPairs>
  <TitlesOfParts>
    <vt:vector size="32" baseType="lpstr">
      <vt:lpstr>прил. 1 (поступл.22-24)</vt:lpstr>
      <vt:lpstr>прил.2(пост.безв.22)</vt:lpstr>
      <vt:lpstr>прил.3 (пост.безв.23-24)</vt:lpstr>
      <vt:lpstr>прил.5 (норм.доходов)</vt:lpstr>
      <vt:lpstr>прил 6 (Рз,ПР 22-24)</vt:lpstr>
      <vt:lpstr>прил 7 (ЦС,ВР 22)</vt:lpstr>
      <vt:lpstr>прил 8 (ЦС,ВР 23-24)</vt:lpstr>
      <vt:lpstr>прил9 (ведом 22)</vt:lpstr>
      <vt:lpstr>прил10 (ведом 23-24)</vt:lpstr>
      <vt:lpstr>прил.11 (Источники 22-24)</vt:lpstr>
      <vt:lpstr>прил.12 (безв.всего 22-24)</vt:lpstr>
      <vt:lpstr>'прил 6 (Рз,ПР 22-24)'!Заголовки_для_печати</vt:lpstr>
      <vt:lpstr>'прил 7 (ЦС,ВР 22)'!Заголовки_для_печати</vt:lpstr>
      <vt:lpstr>'прил 8 (ЦС,ВР 23-24)'!Заголовки_для_печати</vt:lpstr>
      <vt:lpstr>'прил. 1 (поступл.22-24)'!Заголовки_для_печати</vt:lpstr>
      <vt:lpstr>'прил.11 (Источники 22-24)'!Заголовки_для_печати</vt:lpstr>
      <vt:lpstr>'прил.2(пост.безв.22)'!Заголовки_для_печати</vt:lpstr>
      <vt:lpstr>'прил.3 (пост.безв.23-24)'!Заголовки_для_печати</vt:lpstr>
      <vt:lpstr>'прил.5 (норм.доходов)'!Заголовки_для_печати</vt:lpstr>
      <vt:lpstr>'прил10 (ведом 23-24)'!Заголовки_для_печати</vt:lpstr>
      <vt:lpstr>'прил9 (ведом 22)'!Заголовки_для_печати</vt:lpstr>
      <vt:lpstr>'прил 6 (Рз,ПР 22-24)'!Область_печати</vt:lpstr>
      <vt:lpstr>'прил 7 (ЦС,ВР 22)'!Область_печати</vt:lpstr>
      <vt:lpstr>'прил 8 (ЦС,ВР 23-24)'!Область_печати</vt:lpstr>
      <vt:lpstr>'прил. 1 (поступл.22-24)'!Область_печати</vt:lpstr>
      <vt:lpstr>'прил.11 (Источники 22-24)'!Область_печати</vt:lpstr>
      <vt:lpstr>'прил.12 (безв.всего 22-24)'!Область_печати</vt:lpstr>
      <vt:lpstr>'прил.2(пост.безв.22)'!Область_печати</vt:lpstr>
      <vt:lpstr>'прил.3 (пост.безв.23-24)'!Область_печати</vt:lpstr>
      <vt:lpstr>'прил.5 (норм.доходов)'!Область_печати</vt:lpstr>
      <vt:lpstr>'прил10 (ведом 23-24)'!Область_печати</vt:lpstr>
      <vt:lpstr>'прил9 (ведом 22)'!Область_печати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2022-04-01T08:57:54Z</dcterms:modified>
</cp:coreProperties>
</file>